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c06221f9d3d3cd/Documents/byofa/"/>
    </mc:Choice>
  </mc:AlternateContent>
  <xr:revisionPtr revIDLastSave="1519" documentId="8_{1180D914-107C-4825-A1C7-B0F83BBD3A2F}" xr6:coauthVersionLast="45" xr6:coauthVersionMax="45" xr10:uidLastSave="{8BD806D9-0E48-4309-BAD2-40275AD497B2}"/>
  <bookViews>
    <workbookView xWindow="-108" yWindow="-108" windowWidth="23256" windowHeight="12576" xr2:uid="{00000000-000D-0000-FFFF-FFFF00000000}"/>
  </bookViews>
  <sheets>
    <sheet name="Work" sheetId="2" r:id="rId1"/>
    <sheet name="Retirement" sheetId="1" r:id="rId2"/>
    <sheet name="Asset Allocation" sheetId="3" r:id="rId3"/>
    <sheet name="Product" sheetId="4" r:id="rId4"/>
    <sheet name="Portfolio" sheetId="5" r:id="rId5"/>
    <sheet name="Pay Debt or Invest" sheetId="6" r:id="rId6"/>
    <sheet name="Borrow To Invest" sheetId="8" r:id="rId7"/>
    <sheet name=" Book Valu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M29" i="9" l="1"/>
  <c r="J32" i="9"/>
  <c r="J34" i="9" s="1"/>
  <c r="I32" i="9"/>
  <c r="I34" i="9" s="1"/>
  <c r="M25" i="9" l="1"/>
  <c r="F21" i="9"/>
  <c r="F20" i="9"/>
  <c r="F22" i="9" s="1"/>
  <c r="C27" i="9"/>
  <c r="F27" i="9" s="1"/>
  <c r="G27" i="9" s="1"/>
  <c r="F28" i="9"/>
  <c r="E28" i="9"/>
  <c r="E29" i="9" s="1"/>
  <c r="I23" i="9"/>
  <c r="J23" i="9"/>
  <c r="E20" i="9" s="1"/>
  <c r="M23" i="9" s="1"/>
  <c r="E21" i="9"/>
  <c r="F16" i="9"/>
  <c r="E16" i="9"/>
  <c r="F15" i="9"/>
  <c r="G15" i="9" s="1"/>
  <c r="F8" i="9"/>
  <c r="E8" i="9"/>
  <c r="F7" i="9"/>
  <c r="F9" i="9" s="1"/>
  <c r="E7" i="9"/>
  <c r="E22" i="9" l="1"/>
  <c r="M14" i="9"/>
  <c r="F29" i="9"/>
  <c r="G20" i="9"/>
  <c r="E9" i="9"/>
  <c r="F17" i="9"/>
  <c r="E17" i="9"/>
  <c r="D16" i="5"/>
  <c r="N34" i="8" l="1"/>
  <c r="T36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5" i="8"/>
  <c r="H36" i="8"/>
  <c r="M7" i="8"/>
  <c r="N7" i="8" s="1"/>
  <c r="O7" i="8" s="1"/>
  <c r="P7" i="8"/>
  <c r="M8" i="8"/>
  <c r="N8" i="8" s="1"/>
  <c r="O8" i="8" s="1"/>
  <c r="P8" i="8"/>
  <c r="M9" i="8"/>
  <c r="N9" i="8" s="1"/>
  <c r="P9" i="8"/>
  <c r="M10" i="8"/>
  <c r="N10" i="8" s="1"/>
  <c r="O10" i="8" s="1"/>
  <c r="P10" i="8"/>
  <c r="M11" i="8"/>
  <c r="N11" i="8" s="1"/>
  <c r="O11" i="8" s="1"/>
  <c r="P11" i="8"/>
  <c r="M12" i="8"/>
  <c r="N12" i="8" s="1"/>
  <c r="O12" i="8" s="1"/>
  <c r="P12" i="8"/>
  <c r="M13" i="8"/>
  <c r="N13" i="8" s="1"/>
  <c r="O13" i="8" s="1"/>
  <c r="P13" i="8"/>
  <c r="M14" i="8"/>
  <c r="N14" i="8" s="1"/>
  <c r="O14" i="8" s="1"/>
  <c r="P14" i="8"/>
  <c r="M15" i="8"/>
  <c r="N15" i="8" s="1"/>
  <c r="P15" i="8"/>
  <c r="M16" i="8"/>
  <c r="N16" i="8" s="1"/>
  <c r="O16" i="8" s="1"/>
  <c r="P16" i="8"/>
  <c r="M17" i="8"/>
  <c r="N17" i="8" s="1"/>
  <c r="O17" i="8" s="1"/>
  <c r="P17" i="8"/>
  <c r="M18" i="8"/>
  <c r="N18" i="8" s="1"/>
  <c r="O18" i="8" s="1"/>
  <c r="P18" i="8"/>
  <c r="M19" i="8"/>
  <c r="N19" i="8" s="1"/>
  <c r="O19" i="8" s="1"/>
  <c r="P19" i="8"/>
  <c r="M20" i="8"/>
  <c r="N20" i="8" s="1"/>
  <c r="O20" i="8" s="1"/>
  <c r="P20" i="8"/>
  <c r="M21" i="8"/>
  <c r="N21" i="8" s="1"/>
  <c r="O21" i="8" s="1"/>
  <c r="P21" i="8"/>
  <c r="M22" i="8"/>
  <c r="N22" i="8" s="1"/>
  <c r="O22" i="8" s="1"/>
  <c r="P22" i="8"/>
  <c r="M23" i="8"/>
  <c r="N23" i="8" s="1"/>
  <c r="O23" i="8" s="1"/>
  <c r="P23" i="8"/>
  <c r="M24" i="8"/>
  <c r="N24" i="8" s="1"/>
  <c r="O24" i="8" s="1"/>
  <c r="P24" i="8"/>
  <c r="M25" i="8"/>
  <c r="N25" i="8" s="1"/>
  <c r="O25" i="8" s="1"/>
  <c r="P25" i="8"/>
  <c r="M26" i="8"/>
  <c r="N26" i="8" s="1"/>
  <c r="O26" i="8" s="1"/>
  <c r="P26" i="8"/>
  <c r="M27" i="8"/>
  <c r="N27" i="8" s="1"/>
  <c r="P27" i="8"/>
  <c r="M28" i="8"/>
  <c r="N28" i="8" s="1"/>
  <c r="O28" i="8" s="1"/>
  <c r="P28" i="8"/>
  <c r="M29" i="8"/>
  <c r="N29" i="8" s="1"/>
  <c r="O29" i="8" s="1"/>
  <c r="P29" i="8"/>
  <c r="M6" i="8"/>
  <c r="N6" i="8" s="1"/>
  <c r="O6" i="8" s="1"/>
  <c r="P6" i="8"/>
  <c r="P5" i="8"/>
  <c r="M5" i="8"/>
  <c r="N5" i="8" s="1"/>
  <c r="O5" i="8" s="1"/>
  <c r="G5" i="8"/>
  <c r="S5" i="8" l="1"/>
  <c r="W30" i="8"/>
  <c r="T34" i="8" s="1"/>
  <c r="O27" i="8"/>
  <c r="O15" i="8"/>
  <c r="M30" i="8"/>
  <c r="O9" i="8"/>
  <c r="I5" i="8"/>
  <c r="U5" i="8" s="1"/>
  <c r="H5" i="8"/>
  <c r="U8" i="6"/>
  <c r="U9" i="6" s="1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P40" i="6" s="1"/>
  <c r="P8" i="6"/>
  <c r="P9" i="6" s="1"/>
  <c r="G10" i="6"/>
  <c r="K10" i="6" s="1"/>
  <c r="G11" i="6"/>
  <c r="K11" i="6" s="1"/>
  <c r="G12" i="6"/>
  <c r="K12" i="6" s="1"/>
  <c r="G13" i="6"/>
  <c r="K13" i="6" s="1"/>
  <c r="G14" i="6"/>
  <c r="K14" i="6" s="1"/>
  <c r="G15" i="6"/>
  <c r="K15" i="6" s="1"/>
  <c r="G16" i="6"/>
  <c r="K16" i="6" s="1"/>
  <c r="G17" i="6"/>
  <c r="K17" i="6" s="1"/>
  <c r="G18" i="6"/>
  <c r="K18" i="6" s="1"/>
  <c r="G19" i="6"/>
  <c r="K19" i="6" s="1"/>
  <c r="G20" i="6"/>
  <c r="K20" i="6" s="1"/>
  <c r="G21" i="6"/>
  <c r="K21" i="6" s="1"/>
  <c r="G22" i="6"/>
  <c r="K22" i="6" s="1"/>
  <c r="G23" i="6"/>
  <c r="K23" i="6" s="1"/>
  <c r="G24" i="6"/>
  <c r="K24" i="6" s="1"/>
  <c r="G25" i="6"/>
  <c r="K25" i="6" s="1"/>
  <c r="G26" i="6"/>
  <c r="K26" i="6" s="1"/>
  <c r="G27" i="6"/>
  <c r="K27" i="6" s="1"/>
  <c r="G28" i="6"/>
  <c r="K28" i="6" s="1"/>
  <c r="G29" i="6"/>
  <c r="K29" i="6" s="1"/>
  <c r="G30" i="6"/>
  <c r="K30" i="6" s="1"/>
  <c r="G31" i="6"/>
  <c r="K31" i="6" s="1"/>
  <c r="G32" i="6"/>
  <c r="K32" i="6" s="1"/>
  <c r="G33" i="6"/>
  <c r="K33" i="6" s="1"/>
  <c r="G34" i="6"/>
  <c r="K34" i="6" s="1"/>
  <c r="G35" i="6"/>
  <c r="K35" i="6" s="1"/>
  <c r="G8" i="6"/>
  <c r="H8" i="6" s="1"/>
  <c r="G9" i="6"/>
  <c r="K9" i="6" s="1"/>
  <c r="T8" i="6"/>
  <c r="S9" i="6" s="1"/>
  <c r="T9" i="6" s="1"/>
  <c r="Q5" i="8" l="1"/>
  <c r="K5" i="8"/>
  <c r="T5" i="8"/>
  <c r="V5" i="8" s="1"/>
  <c r="S6" i="8" s="1"/>
  <c r="J5" i="8"/>
  <c r="G6" i="8" s="1"/>
  <c r="H6" i="8" s="1"/>
  <c r="N30" i="8"/>
  <c r="O30" i="8" s="1"/>
  <c r="H34" i="8" s="1"/>
  <c r="W8" i="6"/>
  <c r="X8" i="6" s="1"/>
  <c r="Y8" i="6" s="1"/>
  <c r="Z8" i="6" s="1"/>
  <c r="W23" i="6"/>
  <c r="W15" i="6"/>
  <c r="W28" i="6"/>
  <c r="W20" i="6"/>
  <c r="W12" i="6"/>
  <c r="W35" i="6"/>
  <c r="W19" i="6"/>
  <c r="W26" i="6"/>
  <c r="W10" i="6"/>
  <c r="W33" i="6"/>
  <c r="W25" i="6"/>
  <c r="W17" i="6"/>
  <c r="W9" i="6"/>
  <c r="W31" i="6"/>
  <c r="W27" i="6"/>
  <c r="W11" i="6"/>
  <c r="W34" i="6"/>
  <c r="W18" i="6"/>
  <c r="W32" i="6"/>
  <c r="W24" i="6"/>
  <c r="W16" i="6"/>
  <c r="W30" i="6"/>
  <c r="W22" i="6"/>
  <c r="W14" i="6"/>
  <c r="W29" i="6"/>
  <c r="W21" i="6"/>
  <c r="W13" i="6"/>
  <c r="P10" i="6"/>
  <c r="P11" i="6" s="1"/>
  <c r="P12" i="6" s="1"/>
  <c r="K8" i="6"/>
  <c r="L8" i="6" s="1"/>
  <c r="Q8" i="6"/>
  <c r="S10" i="6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5" i="3"/>
  <c r="U6" i="8" l="1"/>
  <c r="T6" i="8"/>
  <c r="V6" i="8" s="1"/>
  <c r="S7" i="8" s="1"/>
  <c r="Q6" i="8"/>
  <c r="K6" i="8"/>
  <c r="I6" i="8"/>
  <c r="J6" i="8" s="1"/>
  <c r="G7" i="8" s="1"/>
  <c r="X9" i="6"/>
  <c r="Q9" i="6"/>
  <c r="M8" i="6"/>
  <c r="N8" i="6" s="1"/>
  <c r="L9" i="6" s="1"/>
  <c r="M9" i="6" s="1"/>
  <c r="N9" i="6" s="1"/>
  <c r="L10" i="6" s="1"/>
  <c r="M10" i="6" s="1"/>
  <c r="N10" i="6" s="1"/>
  <c r="L11" i="6" s="1"/>
  <c r="Q10" i="6"/>
  <c r="Q11" i="6"/>
  <c r="Q12" i="6"/>
  <c r="P13" i="6"/>
  <c r="I8" i="6"/>
  <c r="J8" i="6" s="1"/>
  <c r="T10" i="6"/>
  <c r="S11" i="6" s="1"/>
  <c r="G14" i="5"/>
  <c r="H7" i="5"/>
  <c r="H8" i="5"/>
  <c r="H9" i="5"/>
  <c r="H12" i="5"/>
  <c r="H13" i="5"/>
  <c r="H6" i="5"/>
  <c r="H7" i="8" l="1"/>
  <c r="Q7" i="8" s="1"/>
  <c r="I7" i="8"/>
  <c r="J7" i="8" s="1"/>
  <c r="G8" i="8" s="1"/>
  <c r="I8" i="8" s="1"/>
  <c r="T7" i="8"/>
  <c r="V7" i="8" s="1"/>
  <c r="S8" i="8" s="1"/>
  <c r="U7" i="8"/>
  <c r="K7" i="8"/>
  <c r="Y9" i="6"/>
  <c r="Z9" i="6" s="1"/>
  <c r="X10" i="6" s="1"/>
  <c r="M11" i="6"/>
  <c r="Q13" i="6"/>
  <c r="P14" i="6"/>
  <c r="H9" i="6"/>
  <c r="I9" i="6" s="1"/>
  <c r="J9" i="6" s="1"/>
  <c r="H10" i="6" s="1"/>
  <c r="I10" i="6" s="1"/>
  <c r="J10" i="6" s="1"/>
  <c r="H11" i="6" s="1"/>
  <c r="T11" i="6"/>
  <c r="S12" i="6" s="1"/>
  <c r="H14" i="5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L5" i="3"/>
  <c r="M5" i="3" s="1"/>
  <c r="K5" i="3"/>
  <c r="G5" i="3"/>
  <c r="H5" i="3" s="1"/>
  <c r="E6" i="3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5" i="3"/>
  <c r="H8" i="8" l="1"/>
  <c r="Q8" i="8" s="1"/>
  <c r="T8" i="8"/>
  <c r="U8" i="8"/>
  <c r="V8" i="8" s="1"/>
  <c r="S9" i="8" s="1"/>
  <c r="K8" i="8"/>
  <c r="J8" i="8"/>
  <c r="G9" i="8" s="1"/>
  <c r="H9" i="8" s="1"/>
  <c r="Q9" i="8" s="1"/>
  <c r="Y10" i="6"/>
  <c r="Z10" i="6" s="1"/>
  <c r="X11" i="6" s="1"/>
  <c r="Y11" i="6" s="1"/>
  <c r="Z11" i="6" s="1"/>
  <c r="X12" i="6" s="1"/>
  <c r="Y12" i="6" s="1"/>
  <c r="Z12" i="6" s="1"/>
  <c r="X13" i="6" s="1"/>
  <c r="Y13" i="6" s="1"/>
  <c r="Z13" i="6" s="1"/>
  <c r="X14" i="6" s="1"/>
  <c r="N11" i="6"/>
  <c r="L12" i="6" s="1"/>
  <c r="Q14" i="6"/>
  <c r="P15" i="6"/>
  <c r="I11" i="6"/>
  <c r="J11" i="6" s="1"/>
  <c r="T12" i="6"/>
  <c r="S13" i="6" s="1"/>
  <c r="G6" i="3"/>
  <c r="H6" i="3" s="1"/>
  <c r="E7" i="3" s="1"/>
  <c r="G7" i="3" s="1"/>
  <c r="H7" i="3" s="1"/>
  <c r="E8" i="3" s="1"/>
  <c r="J6" i="3"/>
  <c r="O5" i="3"/>
  <c r="Q5" i="3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M6" i="2"/>
  <c r="N6" i="2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M5" i="1"/>
  <c r="M6" i="1" s="1"/>
  <c r="M7" i="1" s="1"/>
  <c r="U9" i="8" l="1"/>
  <c r="T9" i="8"/>
  <c r="K9" i="8"/>
  <c r="I9" i="8"/>
  <c r="J9" i="8" s="1"/>
  <c r="G10" i="8" s="1"/>
  <c r="H10" i="8" s="1"/>
  <c r="Q10" i="8" s="1"/>
  <c r="Y14" i="6"/>
  <c r="Z14" i="6" s="1"/>
  <c r="X15" i="6" s="1"/>
  <c r="M12" i="6"/>
  <c r="Q15" i="6"/>
  <c r="P16" i="6"/>
  <c r="H12" i="6"/>
  <c r="I12" i="6" s="1"/>
  <c r="J12" i="6" s="1"/>
  <c r="H13" i="6" s="1"/>
  <c r="T13" i="6"/>
  <c r="S14" i="6" s="1"/>
  <c r="L6" i="3"/>
  <c r="M6" i="3" s="1"/>
  <c r="G8" i="3"/>
  <c r="H8" i="3" s="1"/>
  <c r="E9" i="3" s="1"/>
  <c r="J6" i="2"/>
  <c r="K6" i="2" s="1"/>
  <c r="M8" i="1"/>
  <c r="M9" i="1" s="1"/>
  <c r="H4" i="1"/>
  <c r="V9" i="8" l="1"/>
  <c r="S10" i="8" s="1"/>
  <c r="U10" i="8" s="1"/>
  <c r="K10" i="8"/>
  <c r="I10" i="8"/>
  <c r="J10" i="8" s="1"/>
  <c r="G11" i="8" s="1"/>
  <c r="Y15" i="6"/>
  <c r="Z15" i="6" s="1"/>
  <c r="X16" i="6" s="1"/>
  <c r="N12" i="6"/>
  <c r="L13" i="6" s="1"/>
  <c r="Q16" i="6"/>
  <c r="P17" i="6"/>
  <c r="I13" i="6"/>
  <c r="J13" i="6" s="1"/>
  <c r="H14" i="6" s="1"/>
  <c r="I14" i="6" s="1"/>
  <c r="J14" i="6" s="1"/>
  <c r="T14" i="6"/>
  <c r="S15" i="6" s="1"/>
  <c r="J7" i="3"/>
  <c r="L7" i="3" s="1"/>
  <c r="M7" i="3" s="1"/>
  <c r="O6" i="3"/>
  <c r="Q6" i="3" s="1"/>
  <c r="G9" i="3"/>
  <c r="H9" i="3" s="1"/>
  <c r="E10" i="3" s="1"/>
  <c r="O6" i="2"/>
  <c r="M7" i="2" s="1"/>
  <c r="H5" i="1"/>
  <c r="L4" i="1"/>
  <c r="M10" i="1"/>
  <c r="T10" i="8" l="1"/>
  <c r="H11" i="8"/>
  <c r="Q11" i="8" s="1"/>
  <c r="I11" i="8"/>
  <c r="J11" i="8" s="1"/>
  <c r="G12" i="8" s="1"/>
  <c r="H12" i="8" s="1"/>
  <c r="V10" i="8"/>
  <c r="S11" i="8" s="1"/>
  <c r="Y16" i="6"/>
  <c r="Z16" i="6" s="1"/>
  <c r="X17" i="6" s="1"/>
  <c r="M13" i="6"/>
  <c r="N13" i="6" s="1"/>
  <c r="P18" i="6"/>
  <c r="Q17" i="6"/>
  <c r="H15" i="6"/>
  <c r="I15" i="6" s="1"/>
  <c r="J15" i="6" s="1"/>
  <c r="T15" i="6"/>
  <c r="S16" i="6" s="1"/>
  <c r="J8" i="3"/>
  <c r="L8" i="3" s="1"/>
  <c r="M8" i="3" s="1"/>
  <c r="O7" i="3"/>
  <c r="Q7" i="3" s="1"/>
  <c r="G10" i="3"/>
  <c r="H10" i="3" s="1"/>
  <c r="E11" i="3" s="1"/>
  <c r="O4" i="1"/>
  <c r="Q6" i="2"/>
  <c r="N7" i="2"/>
  <c r="O7" i="2" s="1"/>
  <c r="M8" i="2" s="1"/>
  <c r="N8" i="2" s="1"/>
  <c r="O8" i="2" s="1"/>
  <c r="M9" i="2" s="1"/>
  <c r="N9" i="2" s="1"/>
  <c r="O9" i="2" s="1"/>
  <c r="M10" i="2" s="1"/>
  <c r="N10" i="2" s="1"/>
  <c r="O10" i="2" s="1"/>
  <c r="M11" i="2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H6" i="1"/>
  <c r="L5" i="1"/>
  <c r="M11" i="1"/>
  <c r="K11" i="8" l="1"/>
  <c r="Q12" i="8"/>
  <c r="I12" i="8"/>
  <c r="J12" i="8" s="1"/>
  <c r="G13" i="8" s="1"/>
  <c r="U11" i="8"/>
  <c r="T11" i="8"/>
  <c r="V11" i="8" s="1"/>
  <c r="S12" i="8" s="1"/>
  <c r="K12" i="8"/>
  <c r="Y17" i="6"/>
  <c r="Z17" i="6" s="1"/>
  <c r="X18" i="6" s="1"/>
  <c r="L14" i="6"/>
  <c r="P19" i="6"/>
  <c r="Q18" i="6"/>
  <c r="H16" i="6"/>
  <c r="I16" i="6" s="1"/>
  <c r="J16" i="6" s="1"/>
  <c r="T16" i="6"/>
  <c r="S17" i="6" s="1"/>
  <c r="J9" i="3"/>
  <c r="L9" i="3" s="1"/>
  <c r="M9" i="3" s="1"/>
  <c r="O8" i="3"/>
  <c r="Q8" i="3" s="1"/>
  <c r="G11" i="3"/>
  <c r="H11" i="3" s="1"/>
  <c r="E12" i="3" s="1"/>
  <c r="O5" i="1"/>
  <c r="Q5" i="1"/>
  <c r="Q4" i="1"/>
  <c r="N11" i="2"/>
  <c r="O11" i="2" s="1"/>
  <c r="M12" i="2" s="1"/>
  <c r="H7" i="1"/>
  <c r="L6" i="1"/>
  <c r="Q6" i="1" s="1"/>
  <c r="M12" i="1"/>
  <c r="H13" i="8" l="1"/>
  <c r="Q13" i="8" s="1"/>
  <c r="I13" i="8"/>
  <c r="T12" i="8"/>
  <c r="U12" i="8"/>
  <c r="Y18" i="6"/>
  <c r="Z18" i="6" s="1"/>
  <c r="X19" i="6" s="1"/>
  <c r="M14" i="6"/>
  <c r="Q19" i="6"/>
  <c r="P20" i="6"/>
  <c r="H17" i="6"/>
  <c r="I17" i="6" s="1"/>
  <c r="J17" i="6" s="1"/>
  <c r="T17" i="6"/>
  <c r="S18" i="6" s="1"/>
  <c r="J10" i="3"/>
  <c r="O9" i="3"/>
  <c r="Q9" i="3" s="1"/>
  <c r="G12" i="3"/>
  <c r="H12" i="3" s="1"/>
  <c r="E13" i="3" s="1"/>
  <c r="O6" i="1"/>
  <c r="N12" i="2"/>
  <c r="O12" i="2" s="1"/>
  <c r="M13" i="2" s="1"/>
  <c r="H8" i="1"/>
  <c r="L7" i="1"/>
  <c r="Q7" i="1" s="1"/>
  <c r="M13" i="1"/>
  <c r="V12" i="8" l="1"/>
  <c r="S13" i="8" s="1"/>
  <c r="T13" i="8" s="1"/>
  <c r="J13" i="8"/>
  <c r="G14" i="8" s="1"/>
  <c r="H14" i="8" s="1"/>
  <c r="Q14" i="8" s="1"/>
  <c r="K13" i="8"/>
  <c r="Y19" i="6"/>
  <c r="Z19" i="6" s="1"/>
  <c r="X20" i="6" s="1"/>
  <c r="T18" i="6"/>
  <c r="S19" i="6" s="1"/>
  <c r="N14" i="6"/>
  <c r="L15" i="6" s="1"/>
  <c r="Q20" i="6"/>
  <c r="P21" i="6"/>
  <c r="H18" i="6"/>
  <c r="I18" i="6" s="1"/>
  <c r="J18" i="6" s="1"/>
  <c r="L10" i="3"/>
  <c r="M10" i="3" s="1"/>
  <c r="G13" i="3"/>
  <c r="H13" i="3" s="1"/>
  <c r="E14" i="3" s="1"/>
  <c r="O7" i="1"/>
  <c r="N13" i="2"/>
  <c r="O13" i="2" s="1"/>
  <c r="M14" i="2" s="1"/>
  <c r="H9" i="1"/>
  <c r="L8" i="1"/>
  <c r="Q8" i="1" s="1"/>
  <c r="M14" i="1"/>
  <c r="U13" i="8" l="1"/>
  <c r="I14" i="8"/>
  <c r="V13" i="8"/>
  <c r="S14" i="8" s="1"/>
  <c r="J14" i="8"/>
  <c r="G15" i="8" s="1"/>
  <c r="I15" i="8" s="1"/>
  <c r="U14" i="8"/>
  <c r="T14" i="8"/>
  <c r="V14" i="8" s="1"/>
  <c r="S15" i="8" s="1"/>
  <c r="K14" i="8"/>
  <c r="Y20" i="6"/>
  <c r="Z20" i="6" s="1"/>
  <c r="X21" i="6" s="1"/>
  <c r="T19" i="6"/>
  <c r="S20" i="6" s="1"/>
  <c r="T20" i="6" s="1"/>
  <c r="S21" i="6" s="1"/>
  <c r="T21" i="6" s="1"/>
  <c r="S22" i="6" s="1"/>
  <c r="M15" i="6"/>
  <c r="Q21" i="6"/>
  <c r="P22" i="6"/>
  <c r="H19" i="6"/>
  <c r="I19" i="6" s="1"/>
  <c r="J19" i="6" s="1"/>
  <c r="J11" i="3"/>
  <c r="O10" i="3"/>
  <c r="Q10" i="3" s="1"/>
  <c r="G14" i="3"/>
  <c r="H14" i="3" s="1"/>
  <c r="E15" i="3" s="1"/>
  <c r="O8" i="1"/>
  <c r="N14" i="2"/>
  <c r="O14" i="2" s="1"/>
  <c r="M15" i="2" s="1"/>
  <c r="H10" i="1"/>
  <c r="L9" i="1"/>
  <c r="Q9" i="1" s="1"/>
  <c r="M15" i="1"/>
  <c r="H15" i="8" l="1"/>
  <c r="Q15" i="8" s="1"/>
  <c r="K15" i="8"/>
  <c r="U15" i="8"/>
  <c r="T15" i="8"/>
  <c r="V15" i="8" s="1"/>
  <c r="S16" i="8" s="1"/>
  <c r="Y21" i="6"/>
  <c r="Z21" i="6" s="1"/>
  <c r="X22" i="6" s="1"/>
  <c r="T22" i="6"/>
  <c r="S23" i="6" s="1"/>
  <c r="N15" i="6"/>
  <c r="L16" i="6" s="1"/>
  <c r="P23" i="6"/>
  <c r="Q22" i="6"/>
  <c r="H20" i="6"/>
  <c r="I20" i="6" s="1"/>
  <c r="J20" i="6" s="1"/>
  <c r="L11" i="3"/>
  <c r="M11" i="3" s="1"/>
  <c r="G15" i="3"/>
  <c r="H15" i="3" s="1"/>
  <c r="E16" i="3" s="1"/>
  <c r="O9" i="1"/>
  <c r="N15" i="2"/>
  <c r="O15" i="2" s="1"/>
  <c r="M16" i="2" s="1"/>
  <c r="H11" i="1"/>
  <c r="L10" i="1"/>
  <c r="Q10" i="1" s="1"/>
  <c r="M16" i="1"/>
  <c r="J15" i="8" l="1"/>
  <c r="G16" i="8" s="1"/>
  <c r="H16" i="8" s="1"/>
  <c r="Q16" i="8" s="1"/>
  <c r="I16" i="8"/>
  <c r="J16" i="8" s="1"/>
  <c r="G17" i="8" s="1"/>
  <c r="U16" i="8"/>
  <c r="T16" i="8"/>
  <c r="V16" i="8" s="1"/>
  <c r="S17" i="8" s="1"/>
  <c r="Y22" i="6"/>
  <c r="Z22" i="6" s="1"/>
  <c r="X23" i="6" s="1"/>
  <c r="T23" i="6"/>
  <c r="S24" i="6" s="1"/>
  <c r="M16" i="6"/>
  <c r="Q23" i="6"/>
  <c r="P24" i="6"/>
  <c r="H21" i="6"/>
  <c r="I21" i="6" s="1"/>
  <c r="J21" i="6" s="1"/>
  <c r="J12" i="3"/>
  <c r="O11" i="3"/>
  <c r="Q11" i="3" s="1"/>
  <c r="G16" i="3"/>
  <c r="H16" i="3" s="1"/>
  <c r="E17" i="3" s="1"/>
  <c r="O10" i="1"/>
  <c r="N16" i="2"/>
  <c r="O16" i="2" s="1"/>
  <c r="M17" i="2" s="1"/>
  <c r="H12" i="1"/>
  <c r="L11" i="1"/>
  <c r="Q11" i="1" s="1"/>
  <c r="M17" i="1"/>
  <c r="K16" i="8" l="1"/>
  <c r="T17" i="8"/>
  <c r="U17" i="8"/>
  <c r="I17" i="8"/>
  <c r="H17" i="8"/>
  <c r="Y23" i="6"/>
  <c r="Z23" i="6" s="1"/>
  <c r="X24" i="6" s="1"/>
  <c r="T24" i="6"/>
  <c r="S25" i="6" s="1"/>
  <c r="N16" i="6"/>
  <c r="L17" i="6" s="1"/>
  <c r="Q24" i="6"/>
  <c r="P25" i="6"/>
  <c r="H22" i="6"/>
  <c r="I22" i="6" s="1"/>
  <c r="J22" i="6" s="1"/>
  <c r="L12" i="3"/>
  <c r="M12" i="3" s="1"/>
  <c r="G17" i="3"/>
  <c r="H17" i="3" s="1"/>
  <c r="E18" i="3" s="1"/>
  <c r="O11" i="1"/>
  <c r="N17" i="2"/>
  <c r="O17" i="2" s="1"/>
  <c r="M18" i="2" s="1"/>
  <c r="H13" i="1"/>
  <c r="L12" i="1"/>
  <c r="Q12" i="1" s="1"/>
  <c r="M18" i="1"/>
  <c r="Q17" i="8" l="1"/>
  <c r="K17" i="8"/>
  <c r="V17" i="8"/>
  <c r="S18" i="8" s="1"/>
  <c r="J17" i="8"/>
  <c r="G18" i="8" s="1"/>
  <c r="Y24" i="6"/>
  <c r="Z24" i="6" s="1"/>
  <c r="X25" i="6" s="1"/>
  <c r="T25" i="6"/>
  <c r="S26" i="6" s="1"/>
  <c r="T26" i="6" s="1"/>
  <c r="S27" i="6" s="1"/>
  <c r="T27" i="6" s="1"/>
  <c r="S28" i="6" s="1"/>
  <c r="T28" i="6" s="1"/>
  <c r="S29" i="6" s="1"/>
  <c r="T29" i="6" s="1"/>
  <c r="S30" i="6" s="1"/>
  <c r="T30" i="6" s="1"/>
  <c r="S31" i="6" s="1"/>
  <c r="M17" i="6"/>
  <c r="N17" i="6" s="1"/>
  <c r="Q25" i="6"/>
  <c r="P26" i="6"/>
  <c r="H23" i="6"/>
  <c r="I23" i="6" s="1"/>
  <c r="J23" i="6" s="1"/>
  <c r="J13" i="3"/>
  <c r="O12" i="3"/>
  <c r="Q12" i="3" s="1"/>
  <c r="G18" i="3"/>
  <c r="H18" i="3" s="1"/>
  <c r="E19" i="3" s="1"/>
  <c r="O12" i="1"/>
  <c r="N18" i="2"/>
  <c r="O18" i="2" s="1"/>
  <c r="M19" i="2" s="1"/>
  <c r="H14" i="1"/>
  <c r="L13" i="1"/>
  <c r="Q13" i="1" s="1"/>
  <c r="M19" i="1"/>
  <c r="T18" i="8" l="1"/>
  <c r="U18" i="8"/>
  <c r="I18" i="8"/>
  <c r="H18" i="8"/>
  <c r="Q18" i="8" s="1"/>
  <c r="Y25" i="6"/>
  <c r="Z25" i="6" s="1"/>
  <c r="X26" i="6" s="1"/>
  <c r="T31" i="6"/>
  <c r="S32" i="6" s="1"/>
  <c r="T32" i="6" s="1"/>
  <c r="S33" i="6" s="1"/>
  <c r="T33" i="6" s="1"/>
  <c r="S34" i="6" s="1"/>
  <c r="L18" i="6"/>
  <c r="P27" i="6"/>
  <c r="Q26" i="6"/>
  <c r="H24" i="6"/>
  <c r="I24" i="6" s="1"/>
  <c r="J24" i="6" s="1"/>
  <c r="L13" i="3"/>
  <c r="M13" i="3" s="1"/>
  <c r="G19" i="3"/>
  <c r="H19" i="3" s="1"/>
  <c r="E20" i="3" s="1"/>
  <c r="O13" i="1"/>
  <c r="N19" i="2"/>
  <c r="O19" i="2" s="1"/>
  <c r="M20" i="2" s="1"/>
  <c r="H15" i="1"/>
  <c r="L14" i="1"/>
  <c r="Q14" i="1" s="1"/>
  <c r="M20" i="1"/>
  <c r="V18" i="8" l="1"/>
  <c r="S19" i="8" s="1"/>
  <c r="K18" i="8"/>
  <c r="J18" i="8"/>
  <c r="G19" i="8" s="1"/>
  <c r="I19" i="8" s="1"/>
  <c r="Y26" i="6"/>
  <c r="Z26" i="6" s="1"/>
  <c r="X27" i="6" s="1"/>
  <c r="M18" i="6"/>
  <c r="T34" i="6"/>
  <c r="S35" i="6" s="1"/>
  <c r="Q27" i="6"/>
  <c r="P28" i="6"/>
  <c r="H25" i="6"/>
  <c r="I25" i="6" s="1"/>
  <c r="J25" i="6" s="1"/>
  <c r="J14" i="3"/>
  <c r="L14" i="3" s="1"/>
  <c r="M14" i="3" s="1"/>
  <c r="O13" i="3"/>
  <c r="Q13" i="3" s="1"/>
  <c r="G20" i="3"/>
  <c r="H20" i="3" s="1"/>
  <c r="E21" i="3" s="1"/>
  <c r="O14" i="1"/>
  <c r="N20" i="2"/>
  <c r="O20" i="2" s="1"/>
  <c r="M21" i="2" s="1"/>
  <c r="H16" i="1"/>
  <c r="L15" i="1"/>
  <c r="Q15" i="1" s="1"/>
  <c r="M21" i="1"/>
  <c r="U19" i="8" l="1"/>
  <c r="T19" i="8"/>
  <c r="H19" i="8"/>
  <c r="Q19" i="8" s="1"/>
  <c r="Y27" i="6"/>
  <c r="Z27" i="6" s="1"/>
  <c r="X28" i="6" s="1"/>
  <c r="T35" i="6"/>
  <c r="S36" i="6" s="1"/>
  <c r="P39" i="6" s="1"/>
  <c r="N18" i="6"/>
  <c r="L19" i="6" s="1"/>
  <c r="Q28" i="6"/>
  <c r="P29" i="6"/>
  <c r="H26" i="6"/>
  <c r="I26" i="6" s="1"/>
  <c r="J26" i="6" s="1"/>
  <c r="J15" i="3"/>
  <c r="O14" i="3"/>
  <c r="Q14" i="3" s="1"/>
  <c r="G21" i="3"/>
  <c r="H21" i="3" s="1"/>
  <c r="E22" i="3" s="1"/>
  <c r="O15" i="1"/>
  <c r="N21" i="2"/>
  <c r="O21" i="2" s="1"/>
  <c r="M22" i="2" s="1"/>
  <c r="H17" i="1"/>
  <c r="L16" i="1"/>
  <c r="Q16" i="1" s="1"/>
  <c r="M22" i="1"/>
  <c r="V19" i="8" l="1"/>
  <c r="S20" i="8" s="1"/>
  <c r="T20" i="8" s="1"/>
  <c r="J19" i="8"/>
  <c r="G20" i="8" s="1"/>
  <c r="H20" i="8" s="1"/>
  <c r="Q20" i="8" s="1"/>
  <c r="K19" i="8"/>
  <c r="Y28" i="6"/>
  <c r="Z28" i="6" s="1"/>
  <c r="X29" i="6" s="1"/>
  <c r="M19" i="6"/>
  <c r="Q29" i="6"/>
  <c r="P30" i="6"/>
  <c r="H27" i="6"/>
  <c r="I27" i="6" s="1"/>
  <c r="J27" i="6" s="1"/>
  <c r="L15" i="3"/>
  <c r="M15" i="3" s="1"/>
  <c r="G22" i="3"/>
  <c r="H22" i="3" s="1"/>
  <c r="E23" i="3" s="1"/>
  <c r="O16" i="1"/>
  <c r="N22" i="2"/>
  <c r="O22" i="2" s="1"/>
  <c r="M23" i="2" s="1"/>
  <c r="H18" i="1"/>
  <c r="L17" i="1"/>
  <c r="Q17" i="1" s="1"/>
  <c r="M23" i="1"/>
  <c r="I20" i="8" l="1"/>
  <c r="U20" i="8"/>
  <c r="V20" i="8" s="1"/>
  <c r="S21" i="8" s="1"/>
  <c r="U21" i="8" s="1"/>
  <c r="T21" i="8"/>
  <c r="K20" i="8"/>
  <c r="J20" i="8"/>
  <c r="G21" i="8" s="1"/>
  <c r="Y29" i="6"/>
  <c r="Z29" i="6" s="1"/>
  <c r="X30" i="6" s="1"/>
  <c r="N19" i="6"/>
  <c r="L20" i="6" s="1"/>
  <c r="Q30" i="6"/>
  <c r="P31" i="6"/>
  <c r="H28" i="6"/>
  <c r="I28" i="6" s="1"/>
  <c r="J28" i="6" s="1"/>
  <c r="J16" i="3"/>
  <c r="O15" i="3"/>
  <c r="Q15" i="3" s="1"/>
  <c r="G23" i="3"/>
  <c r="H23" i="3" s="1"/>
  <c r="E24" i="3" s="1"/>
  <c r="O17" i="1"/>
  <c r="N23" i="2"/>
  <c r="O23" i="2" s="1"/>
  <c r="M24" i="2" s="1"/>
  <c r="H19" i="1"/>
  <c r="L18" i="1"/>
  <c r="Q18" i="1" s="1"/>
  <c r="M24" i="1"/>
  <c r="V21" i="8" l="1"/>
  <c r="S22" i="8" s="1"/>
  <c r="T22" i="8"/>
  <c r="U22" i="8"/>
  <c r="I21" i="8"/>
  <c r="H21" i="8"/>
  <c r="Q21" i="8" s="1"/>
  <c r="Y30" i="6"/>
  <c r="Z30" i="6" s="1"/>
  <c r="X31" i="6" s="1"/>
  <c r="M20" i="6"/>
  <c r="Q31" i="6"/>
  <c r="P32" i="6"/>
  <c r="H29" i="6"/>
  <c r="I29" i="6" s="1"/>
  <c r="J29" i="6" s="1"/>
  <c r="L16" i="3"/>
  <c r="M16" i="3" s="1"/>
  <c r="G24" i="3"/>
  <c r="H24" i="3" s="1"/>
  <c r="E25" i="3" s="1"/>
  <c r="O18" i="1"/>
  <c r="N24" i="2"/>
  <c r="O24" i="2" s="1"/>
  <c r="M25" i="2" s="1"/>
  <c r="H20" i="1"/>
  <c r="L19" i="1"/>
  <c r="Q19" i="1" s="1"/>
  <c r="M25" i="1"/>
  <c r="K21" i="8" l="1"/>
  <c r="V22" i="8"/>
  <c r="S23" i="8" s="1"/>
  <c r="J21" i="8"/>
  <c r="G22" i="8" s="1"/>
  <c r="Y31" i="6"/>
  <c r="Z31" i="6" s="1"/>
  <c r="X32" i="6" s="1"/>
  <c r="N20" i="6"/>
  <c r="L21" i="6" s="1"/>
  <c r="Q32" i="6"/>
  <c r="P33" i="6"/>
  <c r="H30" i="6"/>
  <c r="I30" i="6" s="1"/>
  <c r="J30" i="6" s="1"/>
  <c r="J17" i="3"/>
  <c r="L17" i="3" s="1"/>
  <c r="M17" i="3" s="1"/>
  <c r="O16" i="3"/>
  <c r="Q16" i="3" s="1"/>
  <c r="G25" i="3"/>
  <c r="H25" i="3" s="1"/>
  <c r="E26" i="3" s="1"/>
  <c r="O19" i="1"/>
  <c r="N25" i="2"/>
  <c r="O25" i="2" s="1"/>
  <c r="M26" i="2" s="1"/>
  <c r="H21" i="1"/>
  <c r="L20" i="1"/>
  <c r="Q20" i="1" s="1"/>
  <c r="M26" i="1"/>
  <c r="U23" i="8" l="1"/>
  <c r="T23" i="8"/>
  <c r="V23" i="8" s="1"/>
  <c r="S24" i="8" s="1"/>
  <c r="I22" i="8"/>
  <c r="H22" i="8"/>
  <c r="Y32" i="6"/>
  <c r="Z32" i="6" s="1"/>
  <c r="X33" i="6" s="1"/>
  <c r="M21" i="6"/>
  <c r="P34" i="6"/>
  <c r="Q33" i="6"/>
  <c r="H31" i="6"/>
  <c r="I31" i="6" s="1"/>
  <c r="J31" i="6" s="1"/>
  <c r="J18" i="3"/>
  <c r="L18" i="3" s="1"/>
  <c r="M18" i="3" s="1"/>
  <c r="O17" i="3"/>
  <c r="Q17" i="3" s="1"/>
  <c r="G26" i="3"/>
  <c r="H26" i="3" s="1"/>
  <c r="E27" i="3" s="1"/>
  <c r="O20" i="1"/>
  <c r="N26" i="2"/>
  <c r="O26" i="2" s="1"/>
  <c r="M27" i="2" s="1"/>
  <c r="H22" i="1"/>
  <c r="L21" i="1"/>
  <c r="Q21" i="1" s="1"/>
  <c r="M27" i="1"/>
  <c r="T24" i="8" l="1"/>
  <c r="U24" i="8"/>
  <c r="J22" i="8"/>
  <c r="G23" i="8" s="1"/>
  <c r="Q22" i="8"/>
  <c r="K22" i="8"/>
  <c r="H23" i="8"/>
  <c r="Q23" i="8" s="1"/>
  <c r="I23" i="8"/>
  <c r="Y33" i="6"/>
  <c r="Z33" i="6" s="1"/>
  <c r="X34" i="6" s="1"/>
  <c r="N21" i="6"/>
  <c r="L22" i="6" s="1"/>
  <c r="Q34" i="6"/>
  <c r="P35" i="6"/>
  <c r="H32" i="6"/>
  <c r="I32" i="6" s="1"/>
  <c r="J32" i="6" s="1"/>
  <c r="J19" i="3"/>
  <c r="O18" i="3"/>
  <c r="Q18" i="3" s="1"/>
  <c r="G27" i="3"/>
  <c r="H27" i="3" s="1"/>
  <c r="E28" i="3" s="1"/>
  <c r="O21" i="1"/>
  <c r="N27" i="2"/>
  <c r="O27" i="2" s="1"/>
  <c r="M28" i="2" s="1"/>
  <c r="H23" i="1"/>
  <c r="L22" i="1"/>
  <c r="Q22" i="1" s="1"/>
  <c r="M28" i="1"/>
  <c r="V24" i="8" l="1"/>
  <c r="S25" i="8" s="1"/>
  <c r="K23" i="8"/>
  <c r="U25" i="8"/>
  <c r="T25" i="8"/>
  <c r="V25" i="8" s="1"/>
  <c r="S26" i="8" s="1"/>
  <c r="J23" i="8"/>
  <c r="G24" i="8" s="1"/>
  <c r="Y34" i="6"/>
  <c r="Z34" i="6" s="1"/>
  <c r="X35" i="6" s="1"/>
  <c r="Q35" i="6"/>
  <c r="Q36" i="6" s="1"/>
  <c r="Q39" i="6"/>
  <c r="P41" i="6" s="1"/>
  <c r="M22" i="6"/>
  <c r="N22" i="6" s="1"/>
  <c r="H33" i="6"/>
  <c r="I33" i="6" s="1"/>
  <c r="J33" i="6" s="1"/>
  <c r="L19" i="3"/>
  <c r="M19" i="3"/>
  <c r="G28" i="3"/>
  <c r="H28" i="3" s="1"/>
  <c r="E29" i="3" s="1"/>
  <c r="O22" i="1"/>
  <c r="N28" i="2"/>
  <c r="O28" i="2" s="1"/>
  <c r="M29" i="2" s="1"/>
  <c r="H24" i="1"/>
  <c r="L23" i="1"/>
  <c r="Q23" i="1" s="1"/>
  <c r="M29" i="1"/>
  <c r="T26" i="8" l="1"/>
  <c r="U26" i="8"/>
  <c r="I24" i="8"/>
  <c r="H24" i="8"/>
  <c r="Q24" i="8" s="1"/>
  <c r="Y35" i="6"/>
  <c r="Z35" i="6" s="1"/>
  <c r="W39" i="6" s="1"/>
  <c r="W40" i="6" s="1"/>
  <c r="L23" i="6"/>
  <c r="J20" i="3"/>
  <c r="L20" i="3" s="1"/>
  <c r="M20" i="3" s="1"/>
  <c r="O19" i="3"/>
  <c r="Q19" i="3" s="1"/>
  <c r="G29" i="3"/>
  <c r="H29" i="3" s="1"/>
  <c r="E30" i="3" s="1"/>
  <c r="O23" i="1"/>
  <c r="N29" i="2"/>
  <c r="O29" i="2" s="1"/>
  <c r="M30" i="2" s="1"/>
  <c r="H25" i="1"/>
  <c r="L24" i="1"/>
  <c r="Q24" i="1" s="1"/>
  <c r="M30" i="1"/>
  <c r="K24" i="8" l="1"/>
  <c r="V26" i="8"/>
  <c r="S27" i="8" s="1"/>
  <c r="J24" i="8"/>
  <c r="G25" i="8" s="1"/>
  <c r="M23" i="6"/>
  <c r="G36" i="6"/>
  <c r="H34" i="6"/>
  <c r="I34" i="6" s="1"/>
  <c r="J34" i="6" s="1"/>
  <c r="H35" i="6" s="1"/>
  <c r="I35" i="6" s="1"/>
  <c r="J35" i="6" s="1"/>
  <c r="G39" i="6" s="1"/>
  <c r="J21" i="3"/>
  <c r="L21" i="3" s="1"/>
  <c r="M21" i="3" s="1"/>
  <c r="O20" i="3"/>
  <c r="Q20" i="3" s="1"/>
  <c r="G30" i="3"/>
  <c r="H30" i="3" s="1"/>
  <c r="E31" i="3" s="1"/>
  <c r="O24" i="1"/>
  <c r="N30" i="2"/>
  <c r="O30" i="2" s="1"/>
  <c r="M31" i="2" s="1"/>
  <c r="H26" i="1"/>
  <c r="L25" i="1"/>
  <c r="Q25" i="1" s="1"/>
  <c r="M31" i="1"/>
  <c r="U27" i="8" l="1"/>
  <c r="T27" i="8"/>
  <c r="V27" i="8" s="1"/>
  <c r="S28" i="8" s="1"/>
  <c r="I25" i="8"/>
  <c r="H25" i="8"/>
  <c r="K25" i="8" s="1"/>
  <c r="N23" i="6"/>
  <c r="L24" i="6" s="1"/>
  <c r="J22" i="3"/>
  <c r="O21" i="3"/>
  <c r="Q21" i="3" s="1"/>
  <c r="G31" i="3"/>
  <c r="H31" i="3" s="1"/>
  <c r="E32" i="3" s="1"/>
  <c r="O25" i="1"/>
  <c r="N31" i="2"/>
  <c r="O31" i="2" s="1"/>
  <c r="M32" i="2" s="1"/>
  <c r="H27" i="1"/>
  <c r="L26" i="1"/>
  <c r="Q26" i="1" s="1"/>
  <c r="M32" i="1"/>
  <c r="J25" i="8" l="1"/>
  <c r="G26" i="8" s="1"/>
  <c r="Q25" i="8"/>
  <c r="T28" i="8"/>
  <c r="U28" i="8"/>
  <c r="H26" i="8"/>
  <c r="Q26" i="8" s="1"/>
  <c r="I26" i="8"/>
  <c r="M24" i="6"/>
  <c r="N24" i="6" s="1"/>
  <c r="L22" i="3"/>
  <c r="M22" i="3" s="1"/>
  <c r="G32" i="3"/>
  <c r="H32" i="3" s="1"/>
  <c r="E33" i="3" s="1"/>
  <c r="O26" i="1"/>
  <c r="N32" i="2"/>
  <c r="O32" i="2" s="1"/>
  <c r="M33" i="2" s="1"/>
  <c r="H28" i="1"/>
  <c r="L27" i="1"/>
  <c r="Q27" i="1" s="1"/>
  <c r="M33" i="1"/>
  <c r="V28" i="8" l="1"/>
  <c r="S29" i="8" s="1"/>
  <c r="J26" i="8"/>
  <c r="G27" i="8" s="1"/>
  <c r="U29" i="8"/>
  <c r="T29" i="8"/>
  <c r="V29" i="8" s="1"/>
  <c r="T33" i="8" s="1"/>
  <c r="T37" i="8" s="1"/>
  <c r="T39" i="8" s="1"/>
  <c r="K26" i="8"/>
  <c r="H27" i="8"/>
  <c r="Q27" i="8" s="1"/>
  <c r="I27" i="8"/>
  <c r="J27" i="8" s="1"/>
  <c r="G28" i="8" s="1"/>
  <c r="L25" i="6"/>
  <c r="J23" i="3"/>
  <c r="O22" i="3"/>
  <c r="Q22" i="3" s="1"/>
  <c r="G33" i="3"/>
  <c r="H33" i="3" s="1"/>
  <c r="E34" i="3" s="1"/>
  <c r="O27" i="1"/>
  <c r="N33" i="2"/>
  <c r="O33" i="2" s="1"/>
  <c r="M34" i="2" s="1"/>
  <c r="H29" i="1"/>
  <c r="L28" i="1"/>
  <c r="Q28" i="1" s="1"/>
  <c r="M34" i="1"/>
  <c r="K27" i="8" l="1"/>
  <c r="I28" i="8"/>
  <c r="H28" i="8"/>
  <c r="Q28" i="8" s="1"/>
  <c r="M25" i="6"/>
  <c r="L23" i="3"/>
  <c r="M23" i="3" s="1"/>
  <c r="G34" i="3"/>
  <c r="H34" i="3" s="1"/>
  <c r="E35" i="3" s="1"/>
  <c r="O28" i="1"/>
  <c r="N34" i="2"/>
  <c r="O34" i="2" s="1"/>
  <c r="M35" i="2" s="1"/>
  <c r="H30" i="1"/>
  <c r="L29" i="1"/>
  <c r="Q29" i="1" s="1"/>
  <c r="M35" i="1"/>
  <c r="J28" i="8" l="1"/>
  <c r="G29" i="8" s="1"/>
  <c r="K28" i="8"/>
  <c r="H29" i="8"/>
  <c r="Q29" i="8" s="1"/>
  <c r="Q30" i="8" s="1"/>
  <c r="H35" i="8" s="1"/>
  <c r="I29" i="8"/>
  <c r="J29" i="8" s="1"/>
  <c r="N25" i="6"/>
  <c r="L26" i="6" s="1"/>
  <c r="J24" i="3"/>
  <c r="L24" i="3" s="1"/>
  <c r="M24" i="3" s="1"/>
  <c r="O23" i="3"/>
  <c r="Q23" i="3" s="1"/>
  <c r="G35" i="3"/>
  <c r="H35" i="3" s="1"/>
  <c r="E36" i="3" s="1"/>
  <c r="O29" i="1"/>
  <c r="N35" i="2"/>
  <c r="O35" i="2" s="1"/>
  <c r="M36" i="2" s="1"/>
  <c r="H31" i="1"/>
  <c r="L30" i="1"/>
  <c r="Q30" i="1" s="1"/>
  <c r="M36" i="1"/>
  <c r="H33" i="8" l="1"/>
  <c r="H37" i="8" s="1"/>
  <c r="N33" i="8"/>
  <c r="K29" i="8"/>
  <c r="H30" i="8"/>
  <c r="N35" i="8" s="1"/>
  <c r="M26" i="6"/>
  <c r="J25" i="3"/>
  <c r="O24" i="3"/>
  <c r="Q24" i="3" s="1"/>
  <c r="G36" i="3"/>
  <c r="H36" i="3" s="1"/>
  <c r="E37" i="3" s="1"/>
  <c r="O30" i="1"/>
  <c r="N36" i="2"/>
  <c r="O36" i="2" s="1"/>
  <c r="M37" i="2" s="1"/>
  <c r="H32" i="1"/>
  <c r="L31" i="1"/>
  <c r="Q31" i="1" s="1"/>
  <c r="M37" i="1"/>
  <c r="N36" i="8" l="1"/>
  <c r="N37" i="8" s="1"/>
  <c r="N26" i="6"/>
  <c r="L27" i="6" s="1"/>
  <c r="L25" i="3"/>
  <c r="M25" i="3" s="1"/>
  <c r="G37" i="3"/>
  <c r="H37" i="3" s="1"/>
  <c r="E38" i="3" s="1"/>
  <c r="O31" i="1"/>
  <c r="N37" i="2"/>
  <c r="O37" i="2" s="1"/>
  <c r="M38" i="2" s="1"/>
  <c r="H33" i="1"/>
  <c r="L32" i="1"/>
  <c r="Q32" i="1" s="1"/>
  <c r="M27" i="6" l="1"/>
  <c r="J26" i="3"/>
  <c r="L26" i="3" s="1"/>
  <c r="M26" i="3" s="1"/>
  <c r="O25" i="3"/>
  <c r="Q25" i="3" s="1"/>
  <c r="G38" i="3"/>
  <c r="H38" i="3" s="1"/>
  <c r="E39" i="3" s="1"/>
  <c r="O32" i="1"/>
  <c r="N38" i="2"/>
  <c r="O38" i="2" s="1"/>
  <c r="M39" i="2" s="1"/>
  <c r="H34" i="1"/>
  <c r="L33" i="1"/>
  <c r="Q33" i="1" s="1"/>
  <c r="N27" i="6" l="1"/>
  <c r="L28" i="6" s="1"/>
  <c r="J27" i="3"/>
  <c r="L27" i="3" s="1"/>
  <c r="M27" i="3" s="1"/>
  <c r="O26" i="3"/>
  <c r="Q26" i="3" s="1"/>
  <c r="G39" i="3"/>
  <c r="H39" i="3" s="1"/>
  <c r="O33" i="1"/>
  <c r="N39" i="2"/>
  <c r="O39" i="2" s="1"/>
  <c r="M40" i="2" s="1"/>
  <c r="H35" i="1"/>
  <c r="L34" i="1"/>
  <c r="Q34" i="1" s="1"/>
  <c r="M28" i="6" l="1"/>
  <c r="J28" i="3"/>
  <c r="L28" i="3" s="1"/>
  <c r="M28" i="3" s="1"/>
  <c r="O27" i="3"/>
  <c r="Q27" i="3" s="1"/>
  <c r="O34" i="1"/>
  <c r="N40" i="2"/>
  <c r="O40" i="2" s="1"/>
  <c r="H36" i="1"/>
  <c r="L35" i="1"/>
  <c r="Q35" i="1" s="1"/>
  <c r="N28" i="6" l="1"/>
  <c r="L29" i="6" s="1"/>
  <c r="J29" i="3"/>
  <c r="O28" i="3"/>
  <c r="Q28" i="3" s="1"/>
  <c r="O35" i="1"/>
  <c r="H37" i="1"/>
  <c r="L36" i="1"/>
  <c r="Q36" i="1" s="1"/>
  <c r="M29" i="6" l="1"/>
  <c r="N29" i="6" s="1"/>
  <c r="L29" i="3"/>
  <c r="M29" i="3" s="1"/>
  <c r="O36" i="1"/>
  <c r="L37" i="1"/>
  <c r="Q37" i="1" s="1"/>
  <c r="L30" i="6" l="1"/>
  <c r="J30" i="3"/>
  <c r="L30" i="3" s="1"/>
  <c r="M30" i="3" s="1"/>
  <c r="O29" i="3"/>
  <c r="Q29" i="3" s="1"/>
  <c r="O37" i="1"/>
  <c r="H7" i="2"/>
  <c r="J7" i="2" s="1"/>
  <c r="M30" i="6" l="1"/>
  <c r="N30" i="6" s="1"/>
  <c r="J31" i="3"/>
  <c r="O30" i="3"/>
  <c r="Q30" i="3" s="1"/>
  <c r="K7" i="2"/>
  <c r="L31" i="6" l="1"/>
  <c r="M31" i="3"/>
  <c r="L31" i="3"/>
  <c r="H8" i="2"/>
  <c r="J8" i="2" s="1"/>
  <c r="K8" i="2" s="1"/>
  <c r="Q7" i="2"/>
  <c r="M31" i="6" l="1"/>
  <c r="J32" i="3"/>
  <c r="L32" i="3" s="1"/>
  <c r="M32" i="3" s="1"/>
  <c r="O31" i="3"/>
  <c r="Q31" i="3" s="1"/>
  <c r="H9" i="2"/>
  <c r="Q8" i="2"/>
  <c r="N31" i="6" l="1"/>
  <c r="L32" i="6" s="1"/>
  <c r="J33" i="3"/>
  <c r="O32" i="3"/>
  <c r="Q32" i="3" s="1"/>
  <c r="J9" i="2"/>
  <c r="K9" i="2" s="1"/>
  <c r="M32" i="6" l="1"/>
  <c r="L33" i="3"/>
  <c r="M33" i="3" s="1"/>
  <c r="Q9" i="2"/>
  <c r="H10" i="2"/>
  <c r="N32" i="6" l="1"/>
  <c r="L33" i="6" s="1"/>
  <c r="J34" i="3"/>
  <c r="O33" i="3"/>
  <c r="Q33" i="3" s="1"/>
  <c r="J10" i="2"/>
  <c r="K10" i="2" s="1"/>
  <c r="M33" i="6" l="1"/>
  <c r="L34" i="3"/>
  <c r="M34" i="3" s="1"/>
  <c r="Q10" i="2"/>
  <c r="H11" i="2"/>
  <c r="N33" i="6" l="1"/>
  <c r="L34" i="6" s="1"/>
  <c r="J35" i="3"/>
  <c r="L35" i="3" s="1"/>
  <c r="M35" i="3" s="1"/>
  <c r="O34" i="3"/>
  <c r="Q34" i="3" s="1"/>
  <c r="J11" i="2"/>
  <c r="K11" i="2" s="1"/>
  <c r="M34" i="6" l="1"/>
  <c r="J36" i="3"/>
  <c r="O35" i="3"/>
  <c r="Q35" i="3" s="1"/>
  <c r="Q11" i="2"/>
  <c r="H12" i="2"/>
  <c r="N34" i="6" l="1"/>
  <c r="L35" i="6" s="1"/>
  <c r="L36" i="3"/>
  <c r="M36" i="3" s="1"/>
  <c r="J12" i="2"/>
  <c r="K12" i="2" s="1"/>
  <c r="M35" i="6" l="1"/>
  <c r="N35" i="6" s="1"/>
  <c r="G40" i="6" s="1"/>
  <c r="G41" i="6" s="1"/>
  <c r="J37" i="3"/>
  <c r="O36" i="3"/>
  <c r="Q36" i="3" s="1"/>
  <c r="Q12" i="2"/>
  <c r="H13" i="2"/>
  <c r="M37" i="3" l="1"/>
  <c r="L37" i="3"/>
  <c r="J13" i="2"/>
  <c r="K13" i="2" s="1"/>
  <c r="J38" i="3" l="1"/>
  <c r="L38" i="3" s="1"/>
  <c r="M38" i="3" s="1"/>
  <c r="O37" i="3"/>
  <c r="Q37" i="3" s="1"/>
  <c r="Q13" i="2"/>
  <c r="H14" i="2"/>
  <c r="J39" i="3" l="1"/>
  <c r="L39" i="3" s="1"/>
  <c r="M39" i="3" s="1"/>
  <c r="O39" i="3" s="1"/>
  <c r="Q39" i="3" s="1"/>
  <c r="O38" i="3"/>
  <c r="Q38" i="3" s="1"/>
  <c r="J14" i="2"/>
  <c r="K14" i="2" s="1"/>
  <c r="Q14" i="2" l="1"/>
  <c r="H15" i="2"/>
  <c r="J15" i="2" l="1"/>
  <c r="K15" i="2" s="1"/>
  <c r="H16" i="2" l="1"/>
  <c r="Q15" i="2"/>
  <c r="J16" i="2" l="1"/>
  <c r="K16" i="2" s="1"/>
  <c r="H17" i="2" l="1"/>
  <c r="Q16" i="2"/>
  <c r="J17" i="2" l="1"/>
  <c r="K17" i="2" s="1"/>
  <c r="H18" i="2" l="1"/>
  <c r="Q17" i="2"/>
  <c r="J18" i="2" l="1"/>
  <c r="K18" i="2" s="1"/>
  <c r="Q18" i="2" l="1"/>
  <c r="H19" i="2"/>
  <c r="J19" i="2" l="1"/>
  <c r="K19" i="2" s="1"/>
  <c r="H20" i="2" l="1"/>
  <c r="Q19" i="2"/>
  <c r="J20" i="2" l="1"/>
  <c r="K20" i="2" s="1"/>
  <c r="H21" i="2" l="1"/>
  <c r="Q20" i="2"/>
  <c r="J21" i="2" l="1"/>
  <c r="K21" i="2" s="1"/>
  <c r="H22" i="2" l="1"/>
  <c r="Q21" i="2"/>
  <c r="J22" i="2" l="1"/>
  <c r="K22" i="2" s="1"/>
  <c r="H23" i="2" l="1"/>
  <c r="Q22" i="2"/>
  <c r="J23" i="2" l="1"/>
  <c r="K23" i="2" s="1"/>
  <c r="H24" i="2" l="1"/>
  <c r="Q23" i="2"/>
  <c r="J24" i="2" l="1"/>
  <c r="K24" i="2" s="1"/>
  <c r="H25" i="2" l="1"/>
  <c r="Q24" i="2"/>
  <c r="J25" i="2" l="1"/>
  <c r="K25" i="2" s="1"/>
  <c r="Q25" i="2" l="1"/>
  <c r="H26" i="2"/>
  <c r="J26" i="2" l="1"/>
  <c r="K26" i="2" s="1"/>
  <c r="H27" i="2" l="1"/>
  <c r="Q26" i="2"/>
  <c r="J27" i="2" l="1"/>
  <c r="K27" i="2" s="1"/>
  <c r="Q27" i="2" l="1"/>
  <c r="H28" i="2"/>
  <c r="J28" i="2" l="1"/>
  <c r="K28" i="2" s="1"/>
  <c r="H29" i="2" l="1"/>
  <c r="Q28" i="2"/>
  <c r="J29" i="2" l="1"/>
  <c r="K29" i="2" s="1"/>
  <c r="Q29" i="2" l="1"/>
  <c r="H30" i="2"/>
  <c r="J30" i="2" l="1"/>
  <c r="K30" i="2" s="1"/>
  <c r="Q30" i="2" l="1"/>
  <c r="H31" i="2"/>
  <c r="J31" i="2" l="1"/>
  <c r="K31" i="2" s="1"/>
  <c r="Q31" i="2" l="1"/>
  <c r="H32" i="2"/>
  <c r="J32" i="2" l="1"/>
  <c r="K32" i="2" s="1"/>
  <c r="Q32" i="2" l="1"/>
  <c r="H33" i="2"/>
  <c r="J33" i="2" l="1"/>
  <c r="K33" i="2" s="1"/>
  <c r="H34" i="2" l="1"/>
  <c r="Q33" i="2"/>
  <c r="J34" i="2" l="1"/>
  <c r="K34" i="2" s="1"/>
  <c r="H35" i="2" l="1"/>
  <c r="Q34" i="2"/>
  <c r="J35" i="2" l="1"/>
  <c r="K35" i="2" s="1"/>
  <c r="Q35" i="2" l="1"/>
  <c r="H36" i="2"/>
  <c r="J36" i="2" l="1"/>
  <c r="K36" i="2" s="1"/>
  <c r="Q36" i="2" l="1"/>
  <c r="H37" i="2"/>
  <c r="J37" i="2" l="1"/>
  <c r="K37" i="2" s="1"/>
  <c r="H38" i="2" l="1"/>
  <c r="Q37" i="2"/>
  <c r="J38" i="2" l="1"/>
  <c r="K38" i="2" s="1"/>
  <c r="H39" i="2" l="1"/>
  <c r="Q38" i="2"/>
  <c r="J39" i="2" l="1"/>
  <c r="K39" i="2" s="1"/>
  <c r="Q39" i="2" l="1"/>
  <c r="H40" i="2"/>
  <c r="J40" i="2" l="1"/>
  <c r="K40" i="2" s="1"/>
  <c r="Q40" i="2" s="1"/>
  <c r="D6" i="1" s="1"/>
  <c r="G4" i="1" l="1"/>
  <c r="I4" i="1" s="1"/>
  <c r="J4" i="1" s="1"/>
  <c r="G5" i="1" s="1"/>
  <c r="I5" i="1" s="1"/>
  <c r="J5" i="1" s="1"/>
  <c r="G6" i="1" s="1"/>
  <c r="I6" i="1" s="1"/>
  <c r="J6" i="1" s="1"/>
  <c r="G7" i="1" s="1"/>
  <c r="I7" i="1" s="1"/>
  <c r="J7" i="1" s="1"/>
  <c r="G8" i="1" s="1"/>
  <c r="I8" i="1" s="1"/>
  <c r="J8" i="1" s="1"/>
  <c r="G9" i="1" s="1"/>
  <c r="I9" i="1" s="1"/>
  <c r="J9" i="1" s="1"/>
  <c r="G10" i="1" s="1"/>
  <c r="I10" i="1" s="1"/>
  <c r="J10" i="1" s="1"/>
  <c r="G11" i="1" s="1"/>
  <c r="I11" i="1" s="1"/>
  <c r="J11" i="1" s="1"/>
  <c r="G12" i="1" s="1"/>
  <c r="I12" i="1" s="1"/>
  <c r="J12" i="1" s="1"/>
  <c r="G13" i="1" s="1"/>
  <c r="I13" i="1" s="1"/>
  <c r="J13" i="1" s="1"/>
  <c r="G14" i="1" s="1"/>
  <c r="I14" i="1" s="1"/>
  <c r="J14" i="1" s="1"/>
  <c r="G15" i="1" s="1"/>
  <c r="I15" i="1" s="1"/>
  <c r="J15" i="1" s="1"/>
  <c r="G16" i="1" s="1"/>
  <c r="I16" i="1" s="1"/>
  <c r="J16" i="1" s="1"/>
  <c r="G17" i="1" s="1"/>
  <c r="I17" i="1" s="1"/>
  <c r="J17" i="1" s="1"/>
  <c r="G18" i="1" s="1"/>
  <c r="I18" i="1" s="1"/>
  <c r="J18" i="1" s="1"/>
  <c r="G19" i="1" s="1"/>
  <c r="I19" i="1" s="1"/>
  <c r="J19" i="1" s="1"/>
  <c r="G20" i="1" s="1"/>
  <c r="I20" i="1" s="1"/>
  <c r="J20" i="1" s="1"/>
  <c r="G21" i="1" s="1"/>
  <c r="I21" i="1" l="1"/>
  <c r="J21" i="1" s="1"/>
  <c r="G22" i="1" s="1"/>
  <c r="I22" i="1" l="1"/>
  <c r="J22" i="1" s="1"/>
  <c r="G23" i="1" s="1"/>
  <c r="I23" i="1" s="1"/>
  <c r="J23" i="1" s="1"/>
  <c r="G24" i="1" s="1"/>
  <c r="I24" i="1" s="1"/>
  <c r="J24" i="1" s="1"/>
  <c r="G25" i="1" s="1"/>
  <c r="I25" i="1" l="1"/>
  <c r="J25" i="1" s="1"/>
  <c r="G26" i="1" s="1"/>
  <c r="I26" i="1" l="1"/>
  <c r="J26" i="1" s="1"/>
  <c r="G27" i="1" s="1"/>
  <c r="I27" i="1" l="1"/>
  <c r="J27" i="1" s="1"/>
  <c r="G28" i="1" s="1"/>
  <c r="I28" i="1" l="1"/>
  <c r="J28" i="1" s="1"/>
  <c r="G29" i="1" s="1"/>
  <c r="I29" i="1" l="1"/>
  <c r="J29" i="1" s="1"/>
  <c r="G30" i="1" s="1"/>
  <c r="I30" i="1" l="1"/>
  <c r="J30" i="1" s="1"/>
  <c r="G31" i="1" s="1"/>
  <c r="I31" i="1" l="1"/>
  <c r="J31" i="1" s="1"/>
  <c r="G32" i="1" s="1"/>
  <c r="I32" i="1" l="1"/>
  <c r="J32" i="1" s="1"/>
  <c r="G33" i="1" s="1"/>
  <c r="I33" i="1" l="1"/>
  <c r="J33" i="1" s="1"/>
  <c r="G34" i="1" s="1"/>
  <c r="I34" i="1" l="1"/>
  <c r="J34" i="1" s="1"/>
  <c r="G35" i="1" s="1"/>
  <c r="I35" i="1" l="1"/>
  <c r="J35" i="1" s="1"/>
  <c r="G36" i="1" s="1"/>
  <c r="I36" i="1" l="1"/>
  <c r="J36" i="1" s="1"/>
  <c r="G37" i="1" s="1"/>
  <c r="I37" i="1" l="1"/>
  <c r="J37" i="1" s="1"/>
</calcChain>
</file>

<file path=xl/sharedStrings.xml><?xml version="1.0" encoding="utf-8"?>
<sst xmlns="http://schemas.openxmlformats.org/spreadsheetml/2006/main" count="352" uniqueCount="202">
  <si>
    <t>Balance</t>
  </si>
  <si>
    <t>Growth</t>
  </si>
  <si>
    <t>End of Yr.</t>
  </si>
  <si>
    <t>Work</t>
  </si>
  <si>
    <t>Withdraw</t>
  </si>
  <si>
    <t>Year</t>
  </si>
  <si>
    <t>Assumptions</t>
  </si>
  <si>
    <t>R of R</t>
  </si>
  <si>
    <t>Retire</t>
  </si>
  <si>
    <t>Inflation</t>
  </si>
  <si>
    <t>ATR</t>
  </si>
  <si>
    <t>CPP</t>
  </si>
  <si>
    <t>OAS</t>
  </si>
  <si>
    <t>Tax</t>
  </si>
  <si>
    <t>Net Income</t>
  </si>
  <si>
    <t>Income</t>
  </si>
  <si>
    <t>Future Contributions</t>
  </si>
  <si>
    <t>Previous Contirbutions</t>
  </si>
  <si>
    <t>End of Year</t>
  </si>
  <si>
    <t>Contirbution</t>
  </si>
  <si>
    <t>Contribution</t>
  </si>
  <si>
    <t>Total</t>
  </si>
  <si>
    <t>Pre-Tax Inc.</t>
  </si>
  <si>
    <t>Overview of Retirement Health</t>
  </si>
  <si>
    <t>Safety - Fixed Income</t>
  </si>
  <si>
    <t>Growth - Equity</t>
  </si>
  <si>
    <t>Contibution</t>
  </si>
  <si>
    <t>% Growth</t>
  </si>
  <si>
    <t>% Safety</t>
  </si>
  <si>
    <t>RoR Growth</t>
  </si>
  <si>
    <t>RoR Safety</t>
  </si>
  <si>
    <t>Contribute</t>
  </si>
  <si>
    <t>Vanguard Canada All Cap Index ETF</t>
  </si>
  <si>
    <t>6 bp</t>
  </si>
  <si>
    <t xml:space="preserve"># of </t>
  </si>
  <si>
    <t>https://www.vanguardcanada.ca/individual/indv/en/product.html#/fundDetail/etf/portId=9561/assetCode=equit</t>
  </si>
  <si>
    <t>Vanguard FTSE Canada Index ETF</t>
  </si>
  <si>
    <t>https://www.vanguardcanada.ca/individual/indv/en/product.html#/fundDetail/etf/portId=9554/assetCode=equity/?overview</t>
  </si>
  <si>
    <t>iShares Core S&amp;P / TSX Capped Composite Index ETF</t>
  </si>
  <si>
    <t>https://www.blackrock.com/ca/individual/en/products/239837/ishares-sptsx-capped-composite-index-etf</t>
  </si>
  <si>
    <t>Ticker</t>
  </si>
  <si>
    <t>VCN</t>
  </si>
  <si>
    <t>XIC</t>
  </si>
  <si>
    <t>VCE</t>
  </si>
  <si>
    <t>Equity</t>
  </si>
  <si>
    <t>Canada</t>
  </si>
  <si>
    <t>U.S.</t>
  </si>
  <si>
    <t>VTI</t>
  </si>
  <si>
    <t>3 bp</t>
  </si>
  <si>
    <t>Currency</t>
  </si>
  <si>
    <t>$Can</t>
  </si>
  <si>
    <t>$us</t>
  </si>
  <si>
    <t>https://investor.vanguard.com/etf/profile/portfolio/vti</t>
  </si>
  <si>
    <t>ITOT</t>
  </si>
  <si>
    <t>International Developed</t>
  </si>
  <si>
    <t>https://www.ishares.com/us/products/239724/ishares-core-sp-total-us-stock-market-etf</t>
  </si>
  <si>
    <t>IEFA</t>
  </si>
  <si>
    <t>iShares Core MSCI EAFE ETF</t>
  </si>
  <si>
    <t>7 bp</t>
  </si>
  <si>
    <t>https://www.ishares.com/us/products/244049/ishares-core-msci-eafe-etf</t>
  </si>
  <si>
    <t>Emerging Markets</t>
  </si>
  <si>
    <t>12 bp</t>
  </si>
  <si>
    <t>VWO</t>
  </si>
  <si>
    <t>https://investor.vanguard.com/etf/profile/VWO</t>
  </si>
  <si>
    <t>14 bp</t>
  </si>
  <si>
    <t>IEMG</t>
  </si>
  <si>
    <t>https://www.ishares.com/us/products/244050/ishares-core-msci-emerging-markets-etf</t>
  </si>
  <si>
    <t>VAB</t>
  </si>
  <si>
    <t>VSB</t>
  </si>
  <si>
    <t>9 bp</t>
  </si>
  <si>
    <t>11 bp</t>
  </si>
  <si>
    <t>https://www.vanguardcanada.ca/advisors/products/en/detail/etf/9552/bond</t>
  </si>
  <si>
    <t>https://www.vanguardcanada.ca/advisors/products/en/detail/etf/9553/bond</t>
  </si>
  <si>
    <t>XBB</t>
  </si>
  <si>
    <t>10 bp</t>
  </si>
  <si>
    <t>https://www.blackrock.com/ca/individual/en/products/239493/ishares-canadian-universe-bond-index-etf</t>
  </si>
  <si>
    <t>iShares Core Canadian Universe Bond Index ETF</t>
  </si>
  <si>
    <t>Vanguard Total Stock Market ETF</t>
  </si>
  <si>
    <t>iShares Core S&amp;P Total US Stock Market ETF</t>
  </si>
  <si>
    <t>Vanguard FTSE Emerging Markets ETF</t>
  </si>
  <si>
    <t>iShares Core Emerging Markets ETF</t>
  </si>
  <si>
    <t>Vanguard Canadian Aggregate Bond Index ETF</t>
  </si>
  <si>
    <t>Vanguard Canadian Short-term Bond Index ETF</t>
  </si>
  <si>
    <t>https://www.blackrock.com/ca/individual/en/products/239491/ishares-canadian-short-term-bond-index-etf</t>
  </si>
  <si>
    <t>iShares Core Canadian Short Term Bond Index ETF</t>
  </si>
  <si>
    <t>XSB</t>
  </si>
  <si>
    <t>Name &amp; Asset Class</t>
  </si>
  <si>
    <t>GIC</t>
  </si>
  <si>
    <t>Cost</t>
  </si>
  <si>
    <t>Holdings</t>
  </si>
  <si>
    <t>R of R 1st 17 Yr</t>
  </si>
  <si>
    <t>R of R 2nd 17 Yr</t>
  </si>
  <si>
    <t>Competing Portfolio To RBC Select Balance Fund Of Funds Product</t>
  </si>
  <si>
    <t>International</t>
  </si>
  <si>
    <t>Em. Markets</t>
  </si>
  <si>
    <t>Fixed Income</t>
  </si>
  <si>
    <t>Weight</t>
  </si>
  <si>
    <t>Weighted</t>
  </si>
  <si>
    <t>Cost in bp</t>
  </si>
  <si>
    <t>basis points</t>
  </si>
  <si>
    <t>Low-Cost, Broad-Market, Index Products</t>
  </si>
  <si>
    <t>Or, a portion of fixed income into a GIC</t>
  </si>
  <si>
    <t>Other Interesting Product Useful For Specific Purposes</t>
  </si>
  <si>
    <t>https://www.blackrock.com/ca/individual/en/products/239836/ishares-sptsx-canadian-preferred-share-index-fund</t>
  </si>
  <si>
    <t>iShares S&amp;P/TSX Canadian Preferred Share Index ETF</t>
  </si>
  <si>
    <t>50 bp</t>
  </si>
  <si>
    <t>CPD</t>
  </si>
  <si>
    <t xml:space="preserve">Preferred shares have fixed income like characteristics but pay dividend income as opposed to interest income.  This can be useful in a non-registered account.  </t>
  </si>
  <si>
    <t>The idea is preferred shares are non-volatile and pay a steady dividend.  Although from about 2015 preferred shares have been more volatile than normal.</t>
  </si>
  <si>
    <t>What Happens To The Breakdown Between Growth &amp; Safety (Asset Allocation) If You Never Rebalance?</t>
  </si>
  <si>
    <t>Rate on debt</t>
  </si>
  <si>
    <t>Debt</t>
  </si>
  <si>
    <t>Interest</t>
  </si>
  <si>
    <t>Expense</t>
  </si>
  <si>
    <t>Assets</t>
  </si>
  <si>
    <t>Cash</t>
  </si>
  <si>
    <t>Asset</t>
  </si>
  <si>
    <t>Liability</t>
  </si>
  <si>
    <t>TFSA</t>
  </si>
  <si>
    <t>RRSP</t>
  </si>
  <si>
    <t xml:space="preserve">Tax </t>
  </si>
  <si>
    <t>Reduction</t>
  </si>
  <si>
    <t>Marginal Tax Rate</t>
  </si>
  <si>
    <t>To RRSP</t>
  </si>
  <si>
    <t>To TFSA</t>
  </si>
  <si>
    <t>Refund</t>
  </si>
  <si>
    <t>Pay Off Debt.  Increased Cash FlowTo RRSP &amp; Refund From Contribution To TFSA</t>
  </si>
  <si>
    <t>Liabilities</t>
  </si>
  <si>
    <t>Rate of growth</t>
  </si>
  <si>
    <t>Partial Balance Sheet</t>
  </si>
  <si>
    <t>Assumptions:</t>
  </si>
  <si>
    <t xml:space="preserve">Do Not Pay Off Debt.  All To RRSP.  </t>
  </si>
  <si>
    <t>Pay Off Debt.  Cash Flow To TFSA</t>
  </si>
  <si>
    <t xml:space="preserve">$10,000 available to invest or pay down debt.  What To Do? </t>
  </si>
  <si>
    <t>Debt &amp; Its Cost</t>
  </si>
  <si>
    <t>RRSP Tax Liability</t>
  </si>
  <si>
    <t>RRSP Tax liability</t>
  </si>
  <si>
    <t>E of Year</t>
  </si>
  <si>
    <t>E Of Year</t>
  </si>
  <si>
    <t>Tax Refund Applied To TFSA</t>
  </si>
  <si>
    <t>Borrow To Invest</t>
  </si>
  <si>
    <t>Amount Borrowed</t>
  </si>
  <si>
    <t>Marginal TR</t>
  </si>
  <si>
    <t>Portfolio</t>
  </si>
  <si>
    <t>Rate of Return:</t>
  </si>
  <si>
    <t>Dividend</t>
  </si>
  <si>
    <t>Reinvest</t>
  </si>
  <si>
    <t>Book</t>
  </si>
  <si>
    <t>Value</t>
  </si>
  <si>
    <t>Interest rate</t>
  </si>
  <si>
    <t>After-Tax</t>
  </si>
  <si>
    <t>Rate</t>
  </si>
  <si>
    <t>Capital Gain:</t>
  </si>
  <si>
    <t xml:space="preserve">On </t>
  </si>
  <si>
    <t>Economic Gain:</t>
  </si>
  <si>
    <t>Portfolio Value</t>
  </si>
  <si>
    <t>After-Tax Interest Cost</t>
  </si>
  <si>
    <t>Tax On Dividend</t>
  </si>
  <si>
    <t>Tax on Capital Gain</t>
  </si>
  <si>
    <t>After Tax Balance</t>
  </si>
  <si>
    <t>(increase in taxable income</t>
  </si>
  <si>
    <t>in year of sale)</t>
  </si>
  <si>
    <t>Taxable C G</t>
  </si>
  <si>
    <t>Dividend Tax Rate</t>
  </si>
  <si>
    <t>Interest Cost</t>
  </si>
  <si>
    <t>Non-Registered Account</t>
  </si>
  <si>
    <t>Dividends</t>
  </si>
  <si>
    <t>Capital Gain</t>
  </si>
  <si>
    <t>After Tax Economic Gain</t>
  </si>
  <si>
    <t>basis points equates to $72.1 per year on every $100,000 of investment</t>
  </si>
  <si>
    <t xml:space="preserve">Book </t>
  </si>
  <si>
    <t>Market</t>
  </si>
  <si>
    <t>ETF</t>
  </si>
  <si>
    <t>Number of</t>
  </si>
  <si>
    <t>Shares /</t>
  </si>
  <si>
    <t>Units</t>
  </si>
  <si>
    <t>Price Per</t>
  </si>
  <si>
    <t>Share /</t>
  </si>
  <si>
    <t>Unit</t>
  </si>
  <si>
    <t xml:space="preserve">Capital </t>
  </si>
  <si>
    <t>Book &amp; Market Value Beginning of Year One</t>
  </si>
  <si>
    <t>Dividend Rate = $.03/sh/yr</t>
  </si>
  <si>
    <t>Book Value = $3.0/sh</t>
  </si>
  <si>
    <t>Market Value = $3.0/sh</t>
  </si>
  <si>
    <t>Pre-Transaction</t>
  </si>
  <si>
    <t>Market V</t>
  </si>
  <si>
    <t>1250 shares x $4.9/sh = $6,125</t>
  </si>
  <si>
    <t xml:space="preserve">Book V </t>
  </si>
  <si>
    <t>Book &amp; Market Value after Sale</t>
  </si>
  <si>
    <t>Shares</t>
  </si>
  <si>
    <t>BV / MV</t>
  </si>
  <si>
    <t>Book Value = $6,000</t>
  </si>
  <si>
    <t>Market Value = $6,000</t>
  </si>
  <si>
    <t>Market Value = $8,820</t>
  </si>
  <si>
    <t>Sell 1250 shares at $4.9/sh.  What is the Capital Gain?</t>
  </si>
  <si>
    <t>BV</t>
  </si>
  <si>
    <t>is 62.7% of $6,125 = $3,840</t>
  </si>
  <si>
    <t>Capital Gain = $2,285</t>
  </si>
  <si>
    <t>BV after transaction = $6,450  - $3,840</t>
  </si>
  <si>
    <t xml:space="preserve">Book Value or Adjusted Cost Base </t>
  </si>
  <si>
    <t>Book &amp; Market Value End Of Year Four</t>
  </si>
  <si>
    <t>Purchase 100 shares of ETF at $4.50/sh End Of Year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</si>
</sst>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0.0%"/>
    <numFmt numFmtId="167" formatCode="&quot;$&quot;#,##0"/>
    <numFmt numFmtId="168" formatCode="_-&quot;$&quot;* #,##0_-;\-&quot;$&quot;* #,##0_-;_-&quot;$&quot;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165" fontId="0" fillId="0" borderId="0" xfId="1" applyNumberFormat="1" applyFont="1"/>
    <xf numFmtId="6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1" applyNumberFormat="1" applyFont="1"/>
    <xf numFmtId="44" fontId="0" fillId="0" borderId="0" xfId="1" applyFont="1"/>
    <xf numFmtId="5" fontId="0" fillId="0" borderId="0" xfId="1" applyNumberFormat="1" applyFont="1"/>
    <xf numFmtId="44" fontId="2" fillId="0" borderId="0" xfId="1" applyFont="1"/>
    <xf numFmtId="6" fontId="0" fillId="0" borderId="0" xfId="1" applyNumberFormat="1" applyFont="1"/>
    <xf numFmtId="6" fontId="2" fillId="0" borderId="0" xfId="1" applyNumberFormat="1" applyFont="1"/>
    <xf numFmtId="166" fontId="0" fillId="0" borderId="0" xfId="0" applyNumberFormat="1"/>
    <xf numFmtId="0" fontId="2" fillId="0" borderId="0" xfId="0" applyFont="1" applyAlignment="1"/>
    <xf numFmtId="0" fontId="2" fillId="0" borderId="0" xfId="0" applyFont="1" applyBorder="1"/>
    <xf numFmtId="164" fontId="2" fillId="0" borderId="0" xfId="1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1" applyNumberFormat="1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/>
    </xf>
    <xf numFmtId="9" fontId="0" fillId="0" borderId="0" xfId="0" applyNumberFormat="1"/>
    <xf numFmtId="167" fontId="0" fillId="0" borderId="0" xfId="0" applyNumberFormat="1"/>
    <xf numFmtId="0" fontId="2" fillId="4" borderId="0" xfId="0" applyFont="1" applyFill="1"/>
    <xf numFmtId="0" fontId="2" fillId="4" borderId="0" xfId="0" applyFont="1" applyFill="1" applyBorder="1"/>
    <xf numFmtId="165" fontId="0" fillId="4" borderId="0" xfId="1" applyNumberFormat="1" applyFont="1" applyFill="1"/>
    <xf numFmtId="0" fontId="0" fillId="4" borderId="0" xfId="0" applyFont="1" applyFill="1"/>
    <xf numFmtId="165" fontId="0" fillId="4" borderId="0" xfId="0" applyNumberFormat="1" applyFill="1"/>
    <xf numFmtId="165" fontId="2" fillId="4" borderId="0" xfId="0" applyNumberFormat="1" applyFont="1" applyFill="1"/>
    <xf numFmtId="0" fontId="0" fillId="4" borderId="0" xfId="0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6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quotePrefix="1"/>
    <xf numFmtId="0" fontId="0" fillId="0" borderId="1" xfId="0" applyBorder="1"/>
    <xf numFmtId="0" fontId="7" fillId="0" borderId="0" xfId="0" applyFont="1" applyAlignment="1">
      <alignment vertical="center" wrapText="1"/>
    </xf>
    <xf numFmtId="0" fontId="8" fillId="0" borderId="0" xfId="3" applyFont="1"/>
    <xf numFmtId="0" fontId="7" fillId="0" borderId="0" xfId="0" applyFont="1" applyAlignment="1">
      <alignment vertical="center"/>
    </xf>
    <xf numFmtId="0" fontId="9" fillId="0" borderId="0" xfId="0" applyFont="1"/>
    <xf numFmtId="0" fontId="2" fillId="0" borderId="0" xfId="0" quotePrefix="1" applyFont="1"/>
    <xf numFmtId="0" fontId="10" fillId="0" borderId="0" xfId="0" applyFont="1"/>
    <xf numFmtId="0" fontId="11" fillId="0" borderId="0" xfId="0" applyFont="1"/>
    <xf numFmtId="9" fontId="0" fillId="0" borderId="1" xfId="0" applyNumberFormat="1" applyBorder="1"/>
    <xf numFmtId="0" fontId="12" fillId="0" borderId="0" xfId="0" applyFont="1"/>
    <xf numFmtId="0" fontId="6" fillId="0" borderId="0" xfId="3"/>
    <xf numFmtId="0" fontId="13" fillId="0" borderId="0" xfId="0" applyFont="1"/>
    <xf numFmtId="0" fontId="13" fillId="0" borderId="0" xfId="0" applyFont="1" applyAlignment="1">
      <alignment horizontal="center"/>
    </xf>
    <xf numFmtId="9" fontId="2" fillId="0" borderId="0" xfId="0" applyNumberFormat="1" applyFont="1"/>
    <xf numFmtId="9" fontId="2" fillId="0" borderId="0" xfId="2" applyFont="1"/>
    <xf numFmtId="9" fontId="2" fillId="0" borderId="1" xfId="2" quotePrefix="1" applyFont="1" applyBorder="1"/>
    <xf numFmtId="0" fontId="0" fillId="0" borderId="0" xfId="0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/>
    </xf>
    <xf numFmtId="6" fontId="0" fillId="0" borderId="1" xfId="0" applyNumberFormat="1" applyBorder="1"/>
    <xf numFmtId="0" fontId="0" fillId="0" borderId="0" xfId="0" applyAlignment="1"/>
    <xf numFmtId="9" fontId="0" fillId="0" borderId="0" xfId="2" applyFont="1"/>
    <xf numFmtId="8" fontId="0" fillId="0" borderId="0" xfId="0" applyNumberFormat="1"/>
    <xf numFmtId="6" fontId="2" fillId="0" borderId="0" xfId="0" applyNumberFormat="1" applyFont="1"/>
    <xf numFmtId="6" fontId="2" fillId="0" borderId="0" xfId="0" applyNumberFormat="1" applyFont="1" applyBorder="1"/>
    <xf numFmtId="165" fontId="0" fillId="0" borderId="1" xfId="0" applyNumberFormat="1" applyBorder="1"/>
    <xf numFmtId="6" fontId="0" fillId="0" borderId="0" xfId="0" applyNumberFormat="1" applyFont="1" applyBorder="1"/>
    <xf numFmtId="0" fontId="14" fillId="0" borderId="0" xfId="0" applyFont="1" applyAlignment="1">
      <alignment horizontal="center"/>
    </xf>
    <xf numFmtId="6" fontId="0" fillId="0" borderId="2" xfId="0" applyNumberFormat="1" applyBorder="1"/>
    <xf numFmtId="165" fontId="0" fillId="0" borderId="2" xfId="0" applyNumberFormat="1" applyBorder="1"/>
    <xf numFmtId="0" fontId="2" fillId="3" borderId="1" xfId="0" applyFont="1" applyFill="1" applyBorder="1"/>
    <xf numFmtId="0" fontId="2" fillId="6" borderId="1" xfId="0" applyFont="1" applyFill="1" applyBorder="1"/>
    <xf numFmtId="0" fontId="2" fillId="5" borderId="1" xfId="0" applyFont="1" applyFill="1" applyBorder="1"/>
    <xf numFmtId="0" fontId="15" fillId="0" borderId="0" xfId="0" applyFont="1"/>
    <xf numFmtId="167" fontId="0" fillId="0" borderId="0" xfId="1" applyNumberFormat="1" applyFont="1"/>
    <xf numFmtId="166" fontId="0" fillId="0" borderId="0" xfId="2" applyNumberFormat="1" applyFont="1"/>
    <xf numFmtId="10" fontId="0" fillId="0" borderId="0" xfId="0" applyNumberFormat="1"/>
    <xf numFmtId="167" fontId="0" fillId="0" borderId="1" xfId="0" applyNumberFormat="1" applyBorder="1"/>
    <xf numFmtId="167" fontId="0" fillId="0" borderId="0" xfId="0" applyNumberFormat="1" applyFill="1" applyBorder="1"/>
    <xf numFmtId="0" fontId="16" fillId="0" borderId="0" xfId="0" applyFont="1"/>
    <xf numFmtId="167" fontId="16" fillId="0" borderId="0" xfId="0" applyNumberFormat="1" applyFont="1"/>
    <xf numFmtId="167" fontId="16" fillId="0" borderId="1" xfId="0" applyNumberFormat="1" applyFont="1" applyBorder="1"/>
    <xf numFmtId="0" fontId="16" fillId="0" borderId="1" xfId="0" applyFont="1" applyBorder="1"/>
    <xf numFmtId="167" fontId="2" fillId="0" borderId="0" xfId="0" applyNumberFormat="1" applyFont="1"/>
    <xf numFmtId="44" fontId="0" fillId="0" borderId="0" xfId="1" applyNumberFormat="1" applyFont="1"/>
    <xf numFmtId="168" fontId="0" fillId="0" borderId="0" xfId="0" applyNumberFormat="1"/>
    <xf numFmtId="168" fontId="0" fillId="0" borderId="1" xfId="0" applyNumberFormat="1" applyBorder="1"/>
    <xf numFmtId="165" fontId="0" fillId="0" borderId="1" xfId="1" applyNumberFormat="1" applyFont="1" applyBorder="1"/>
    <xf numFmtId="44" fontId="0" fillId="0" borderId="0" xfId="0" applyNumberFormat="1"/>
    <xf numFmtId="10" fontId="0" fillId="0" borderId="0" xfId="2" applyNumberFormat="1" applyFont="1"/>
    <xf numFmtId="5" fontId="2" fillId="0" borderId="0" xfId="1" applyNumberFormat="1" applyFont="1"/>
    <xf numFmtId="44" fontId="2" fillId="0" borderId="0" xfId="1" applyFont="1" applyAlignment="1"/>
    <xf numFmtId="44" fontId="3" fillId="3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5" fillId="7" borderId="0" xfId="0" applyFont="1" applyFill="1" applyAlignment="1">
      <alignment horizontal="center"/>
    </xf>
    <xf numFmtId="44" fontId="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hares.com/us/products/244050/ishares-core-msci-emerging-markets-etf" TargetMode="External"/><Relationship Id="rId13" Type="http://schemas.openxmlformats.org/officeDocument/2006/relationships/hyperlink" Target="https://www.blackrock.com/ca/individual/en/products/239836/ishares-sptsx-canadian-preferred-share-index-fund" TargetMode="External"/><Relationship Id="rId3" Type="http://schemas.openxmlformats.org/officeDocument/2006/relationships/hyperlink" Target="https://www.blackrock.com/ca/individual/en/products/239837/ishares-sptsx-capped-composite-index-etf" TargetMode="External"/><Relationship Id="rId7" Type="http://schemas.openxmlformats.org/officeDocument/2006/relationships/hyperlink" Target="https://investor.vanguard.com/etf/profile/VWO" TargetMode="External"/><Relationship Id="rId12" Type="http://schemas.openxmlformats.org/officeDocument/2006/relationships/hyperlink" Target="https://www.blackrock.com/ca/individual/en/products/239491/ishares-canadian-short-term-bond-index-etf" TargetMode="External"/><Relationship Id="rId2" Type="http://schemas.openxmlformats.org/officeDocument/2006/relationships/hyperlink" Target="https://www.vanguardcanada.ca/individual/indv/en/product.html" TargetMode="External"/><Relationship Id="rId1" Type="http://schemas.openxmlformats.org/officeDocument/2006/relationships/hyperlink" Target="https://www.vanguardcanada.ca/individual/indv/en/product.html" TargetMode="External"/><Relationship Id="rId6" Type="http://schemas.openxmlformats.org/officeDocument/2006/relationships/hyperlink" Target="https://www.ishares.com/us/products/244049/ishares-core-msci-eafe-etf" TargetMode="External"/><Relationship Id="rId11" Type="http://schemas.openxmlformats.org/officeDocument/2006/relationships/hyperlink" Target="https://www.blackrock.com/ca/individual/en/products/239493/ishares-canadian-universe-bond-index-etf" TargetMode="External"/><Relationship Id="rId5" Type="http://schemas.openxmlformats.org/officeDocument/2006/relationships/hyperlink" Target="https://www.ishares.com/us/products/239724/ishares-core-sp-total-us-stock-market-etf" TargetMode="External"/><Relationship Id="rId10" Type="http://schemas.openxmlformats.org/officeDocument/2006/relationships/hyperlink" Target="https://www.vanguardcanada.ca/advisors/products/en/detail/etf/9553/bond" TargetMode="External"/><Relationship Id="rId4" Type="http://schemas.openxmlformats.org/officeDocument/2006/relationships/hyperlink" Target="https://investor.vanguard.com/etf/profile/portfolio/vti" TargetMode="External"/><Relationship Id="rId9" Type="http://schemas.openxmlformats.org/officeDocument/2006/relationships/hyperlink" Target="https://www.vanguardcanada.ca/advisors/products/en/detail/etf/9552/bond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CC49-93B8-42A5-B335-497CE03B9767}">
  <dimension ref="D1:DH59"/>
  <sheetViews>
    <sheetView tabSelected="1" topLeftCell="A3" zoomScale="110" zoomScaleNormal="110" workbookViewId="0">
      <pane xSplit="4" ySplit="14" topLeftCell="E34" activePane="bottomRight" state="frozen"/>
      <selection activeCell="A3" sqref="A3"/>
      <selection pane="topRight" activeCell="E3" sqref="E3"/>
      <selection pane="bottomLeft" activeCell="A15" sqref="A15"/>
      <selection pane="bottomRight" activeCell="E10" sqref="E10"/>
    </sheetView>
  </sheetViews>
  <sheetFormatPr defaultRowHeight="14.4" x14ac:dyDescent="0.3"/>
  <cols>
    <col min="3" max="3" width="6.33203125" customWidth="1"/>
    <col min="4" max="4" width="13.6640625" customWidth="1"/>
    <col min="5" max="5" width="10" customWidth="1"/>
    <col min="6" max="6" width="2.33203125" customWidth="1"/>
    <col min="7" max="7" width="6.33203125" customWidth="1"/>
    <col min="8" max="8" width="13.88671875" style="6" bestFit="1" customWidth="1"/>
    <col min="9" max="9" width="11.6640625" style="6" bestFit="1" customWidth="1"/>
    <col min="10" max="10" width="12.33203125" style="6" bestFit="1" customWidth="1"/>
    <col min="11" max="11" width="11.88671875" style="6" bestFit="1" customWidth="1"/>
    <col min="12" max="12" width="2.21875" style="28" customWidth="1"/>
    <col min="13" max="13" width="12.21875" hidden="1" customWidth="1"/>
    <col min="14" max="14" width="12.5546875" hidden="1" customWidth="1"/>
    <col min="15" max="15" width="11.5546875" hidden="1" customWidth="1"/>
    <col min="16" max="16" width="2.6640625" style="28" hidden="1" customWidth="1"/>
    <col min="17" max="17" width="11.109375" style="32" hidden="1" customWidth="1"/>
  </cols>
  <sheetData>
    <row r="1" spans="4:112" s="4" customFormat="1" x14ac:dyDescent="0.3">
      <c r="F1" s="12"/>
      <c r="G1" s="12"/>
      <c r="H1" s="87" t="s">
        <v>16</v>
      </c>
      <c r="I1" s="87"/>
      <c r="J1" s="87"/>
      <c r="K1" s="87"/>
      <c r="L1" s="22"/>
      <c r="M1" s="88" t="s">
        <v>17</v>
      </c>
      <c r="N1" s="89"/>
      <c r="O1" s="89"/>
      <c r="P1" s="22"/>
      <c r="Q1" s="29"/>
    </row>
    <row r="2" spans="4:112" s="4" customFormat="1" x14ac:dyDescent="0.3">
      <c r="G2" s="4" t="s">
        <v>3</v>
      </c>
      <c r="H2" s="8"/>
      <c r="I2" s="8"/>
      <c r="J2" s="8"/>
      <c r="K2" s="8" t="s">
        <v>2</v>
      </c>
      <c r="L2" s="23"/>
      <c r="M2" s="14"/>
      <c r="N2" s="13"/>
      <c r="O2" s="13" t="s">
        <v>18</v>
      </c>
      <c r="P2" s="23"/>
      <c r="Q2" s="30" t="s">
        <v>21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</row>
    <row r="3" spans="4:112" s="4" customFormat="1" ht="21" x14ac:dyDescent="0.4">
      <c r="E3" s="92" t="s">
        <v>23</v>
      </c>
      <c r="F3" s="92"/>
      <c r="G3" s="92"/>
      <c r="H3" s="92"/>
      <c r="I3" s="92"/>
      <c r="J3" s="92"/>
      <c r="K3" s="92"/>
      <c r="L3" s="23"/>
      <c r="M3" s="14"/>
      <c r="N3" s="13"/>
      <c r="O3" s="13"/>
      <c r="P3" s="23"/>
      <c r="Q3" s="3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</row>
    <row r="4" spans="4:112" s="4" customFormat="1" x14ac:dyDescent="0.3">
      <c r="G4" s="4" t="s">
        <v>3</v>
      </c>
      <c r="H4" s="86"/>
      <c r="I4" s="86"/>
      <c r="J4" s="86"/>
      <c r="K4" s="86"/>
      <c r="L4" s="23"/>
      <c r="M4" s="91" t="s">
        <v>17</v>
      </c>
      <c r="N4" s="91"/>
      <c r="O4" s="91"/>
      <c r="P4" s="23"/>
      <c r="Q4" s="3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</row>
    <row r="5" spans="4:112" s="4" customFormat="1" x14ac:dyDescent="0.3">
      <c r="D5" s="90" t="s">
        <v>6</v>
      </c>
      <c r="E5" s="90"/>
      <c r="F5" s="16"/>
      <c r="G5" s="16" t="s">
        <v>5</v>
      </c>
      <c r="H5" s="18" t="s">
        <v>0</v>
      </c>
      <c r="I5" s="18" t="s">
        <v>19</v>
      </c>
      <c r="J5" s="18" t="s">
        <v>1</v>
      </c>
      <c r="K5" s="18" t="s">
        <v>0</v>
      </c>
      <c r="L5" s="23"/>
      <c r="M5" s="17" t="s">
        <v>0</v>
      </c>
      <c r="N5" s="16" t="s">
        <v>1</v>
      </c>
      <c r="O5" s="16" t="s">
        <v>0</v>
      </c>
      <c r="P5" s="23"/>
      <c r="Q5" s="15" t="s">
        <v>21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</row>
    <row r="6" spans="4:112" x14ac:dyDescent="0.3">
      <c r="F6" s="1"/>
      <c r="G6" s="5">
        <v>1</v>
      </c>
      <c r="H6" s="9">
        <v>0</v>
      </c>
      <c r="I6" s="9">
        <f>E8</f>
        <v>6000</v>
      </c>
      <c r="J6" s="9">
        <f>(H6+I6)*$E$9</f>
        <v>360</v>
      </c>
      <c r="K6" s="9">
        <f>SUM(H6:J6)</f>
        <v>6360</v>
      </c>
      <c r="L6" s="24"/>
      <c r="M6" s="9">
        <f>E7</f>
        <v>0</v>
      </c>
      <c r="N6" s="9">
        <f t="shared" ref="N6:N40" si="0">M6*$E$9</f>
        <v>0</v>
      </c>
      <c r="O6" s="9">
        <f>SUM(M6:N6)</f>
        <v>0</v>
      </c>
      <c r="Q6" s="31">
        <f>K6+O6</f>
        <v>6360</v>
      </c>
    </row>
    <row r="7" spans="4:112" x14ac:dyDescent="0.3">
      <c r="D7" s="4" t="s">
        <v>0</v>
      </c>
      <c r="E7" s="7">
        <v>0</v>
      </c>
      <c r="F7" s="1"/>
      <c r="G7" s="5">
        <v>2</v>
      </c>
      <c r="H7" s="9">
        <f>K6</f>
        <v>6360</v>
      </c>
      <c r="I7" s="9">
        <f>I6</f>
        <v>6000</v>
      </c>
      <c r="J7" s="9">
        <f t="shared" ref="J7:J40" si="1">(H7+I7)*$E$9</f>
        <v>741.6</v>
      </c>
      <c r="K7" s="9">
        <f t="shared" ref="K7:K40" si="2">SUM(H7:J7)</f>
        <v>13101.6</v>
      </c>
      <c r="L7" s="24"/>
      <c r="M7" s="9">
        <f>O6</f>
        <v>0</v>
      </c>
      <c r="N7" s="9">
        <f t="shared" si="0"/>
        <v>0</v>
      </c>
      <c r="O7" s="9">
        <f t="shared" ref="O7:O40" si="3">SUM(M7:N7)</f>
        <v>0</v>
      </c>
      <c r="Q7" s="31">
        <f t="shared" ref="Q7:Q40" si="4">K7+O7</f>
        <v>13101.6</v>
      </c>
    </row>
    <row r="8" spans="4:112" x14ac:dyDescent="0.3">
      <c r="D8" s="4" t="s">
        <v>20</v>
      </c>
      <c r="E8" s="21">
        <v>6000</v>
      </c>
      <c r="F8" s="1"/>
      <c r="G8" s="5">
        <v>3</v>
      </c>
      <c r="H8" s="9">
        <f t="shared" ref="H8:H40" si="5">K7</f>
        <v>13101.6</v>
      </c>
      <c r="I8" s="9">
        <f t="shared" ref="I8:I40" si="6">I7</f>
        <v>6000</v>
      </c>
      <c r="J8" s="9">
        <f t="shared" si="1"/>
        <v>1146.0959999999998</v>
      </c>
      <c r="K8" s="9">
        <f t="shared" si="2"/>
        <v>20247.696</v>
      </c>
      <c r="L8" s="24"/>
      <c r="M8" s="9">
        <f t="shared" ref="M8:M40" si="7">O7</f>
        <v>0</v>
      </c>
      <c r="N8" s="9">
        <f t="shared" si="0"/>
        <v>0</v>
      </c>
      <c r="O8" s="9">
        <f t="shared" si="3"/>
        <v>0</v>
      </c>
      <c r="Q8" s="31">
        <f t="shared" si="4"/>
        <v>20247.696</v>
      </c>
    </row>
    <row r="9" spans="4:112" x14ac:dyDescent="0.3">
      <c r="D9" s="4" t="s">
        <v>7</v>
      </c>
      <c r="E9" s="11">
        <v>0.06</v>
      </c>
      <c r="F9" s="1"/>
      <c r="G9" s="5">
        <v>4</v>
      </c>
      <c r="H9" s="9">
        <f t="shared" si="5"/>
        <v>20247.696</v>
      </c>
      <c r="I9" s="9">
        <f t="shared" si="6"/>
        <v>6000</v>
      </c>
      <c r="J9" s="9">
        <f t="shared" si="1"/>
        <v>1574.86176</v>
      </c>
      <c r="K9" s="9">
        <f t="shared" si="2"/>
        <v>27822.55776</v>
      </c>
      <c r="L9" s="24"/>
      <c r="M9" s="9">
        <f t="shared" si="7"/>
        <v>0</v>
      </c>
      <c r="N9" s="9">
        <f t="shared" si="0"/>
        <v>0</v>
      </c>
      <c r="O9" s="9">
        <f t="shared" si="3"/>
        <v>0</v>
      </c>
      <c r="Q9" s="31">
        <f t="shared" si="4"/>
        <v>27822.55776</v>
      </c>
    </row>
    <row r="10" spans="4:112" x14ac:dyDescent="0.3">
      <c r="D10" s="4"/>
      <c r="E10" s="20"/>
      <c r="F10" s="1"/>
      <c r="G10" s="5">
        <v>5</v>
      </c>
      <c r="H10" s="9">
        <f t="shared" si="5"/>
        <v>27822.55776</v>
      </c>
      <c r="I10" s="9">
        <f t="shared" si="6"/>
        <v>6000</v>
      </c>
      <c r="J10" s="9">
        <f t="shared" si="1"/>
        <v>2029.3534655999997</v>
      </c>
      <c r="K10" s="9">
        <f t="shared" si="2"/>
        <v>35851.911225599993</v>
      </c>
      <c r="L10" s="24"/>
      <c r="M10" s="9">
        <f t="shared" si="7"/>
        <v>0</v>
      </c>
      <c r="N10" s="9">
        <f t="shared" si="0"/>
        <v>0</v>
      </c>
      <c r="O10" s="9">
        <f t="shared" si="3"/>
        <v>0</v>
      </c>
      <c r="Q10" s="31">
        <f t="shared" si="4"/>
        <v>35851.911225599993</v>
      </c>
    </row>
    <row r="11" spans="4:112" x14ac:dyDescent="0.3">
      <c r="E11" s="20"/>
      <c r="F11" s="1"/>
      <c r="G11" s="5">
        <v>6</v>
      </c>
      <c r="H11" s="9">
        <f t="shared" si="5"/>
        <v>35851.911225599993</v>
      </c>
      <c r="I11" s="9">
        <f t="shared" si="6"/>
        <v>6000</v>
      </c>
      <c r="J11" s="9">
        <f t="shared" si="1"/>
        <v>2511.1146735359994</v>
      </c>
      <c r="K11" s="9">
        <f t="shared" si="2"/>
        <v>44363.025899135995</v>
      </c>
      <c r="L11" s="24"/>
      <c r="M11" s="9">
        <f t="shared" si="7"/>
        <v>0</v>
      </c>
      <c r="N11" s="9">
        <f t="shared" si="0"/>
        <v>0</v>
      </c>
      <c r="O11" s="9">
        <f t="shared" si="3"/>
        <v>0</v>
      </c>
      <c r="Q11" s="31">
        <f t="shared" si="4"/>
        <v>44363.025899135995</v>
      </c>
    </row>
    <row r="12" spans="4:112" x14ac:dyDescent="0.3">
      <c r="F12" s="1"/>
      <c r="G12" s="5">
        <v>7</v>
      </c>
      <c r="H12" s="9">
        <f t="shared" si="5"/>
        <v>44363.025899135995</v>
      </c>
      <c r="I12" s="9">
        <f t="shared" si="6"/>
        <v>6000</v>
      </c>
      <c r="J12" s="9">
        <f t="shared" si="1"/>
        <v>3021.7815539481594</v>
      </c>
      <c r="K12" s="9">
        <f t="shared" si="2"/>
        <v>53384.807453084155</v>
      </c>
      <c r="L12" s="24"/>
      <c r="M12" s="9">
        <f t="shared" si="7"/>
        <v>0</v>
      </c>
      <c r="N12" s="9">
        <f t="shared" si="0"/>
        <v>0</v>
      </c>
      <c r="O12" s="9">
        <f t="shared" si="3"/>
        <v>0</v>
      </c>
      <c r="Q12" s="31">
        <f t="shared" si="4"/>
        <v>53384.807453084155</v>
      </c>
    </row>
    <row r="13" spans="4:112" x14ac:dyDescent="0.3">
      <c r="F13" s="1"/>
      <c r="G13" s="5">
        <v>8</v>
      </c>
      <c r="H13" s="9">
        <f t="shared" si="5"/>
        <v>53384.807453084155</v>
      </c>
      <c r="I13" s="9">
        <f t="shared" si="6"/>
        <v>6000</v>
      </c>
      <c r="J13" s="9">
        <f t="shared" si="1"/>
        <v>3563.0884471850491</v>
      </c>
      <c r="K13" s="9">
        <f t="shared" si="2"/>
        <v>62947.895900269206</v>
      </c>
      <c r="L13" s="24"/>
      <c r="M13" s="9">
        <f t="shared" si="7"/>
        <v>0</v>
      </c>
      <c r="N13" s="9">
        <f t="shared" si="0"/>
        <v>0</v>
      </c>
      <c r="O13" s="9">
        <f t="shared" si="3"/>
        <v>0</v>
      </c>
      <c r="Q13" s="31">
        <f t="shared" si="4"/>
        <v>62947.895900269206</v>
      </c>
    </row>
    <row r="14" spans="4:112" x14ac:dyDescent="0.3">
      <c r="F14" s="1"/>
      <c r="G14" s="5">
        <v>9</v>
      </c>
      <c r="H14" s="9">
        <f t="shared" si="5"/>
        <v>62947.895900269206</v>
      </c>
      <c r="I14" s="9">
        <f t="shared" si="6"/>
        <v>6000</v>
      </c>
      <c r="J14" s="9">
        <f t="shared" si="1"/>
        <v>4136.8737540161528</v>
      </c>
      <c r="K14" s="9">
        <f t="shared" si="2"/>
        <v>73084.769654285366</v>
      </c>
      <c r="L14" s="24"/>
      <c r="M14" s="9">
        <f t="shared" si="7"/>
        <v>0</v>
      </c>
      <c r="N14" s="9">
        <f t="shared" si="0"/>
        <v>0</v>
      </c>
      <c r="O14" s="9">
        <f t="shared" si="3"/>
        <v>0</v>
      </c>
      <c r="Q14" s="31">
        <f t="shared" si="4"/>
        <v>73084.769654285366</v>
      </c>
    </row>
    <row r="15" spans="4:112" x14ac:dyDescent="0.3">
      <c r="F15" s="1"/>
      <c r="G15" s="5">
        <v>10</v>
      </c>
      <c r="H15" s="9">
        <f t="shared" si="5"/>
        <v>73084.769654285366</v>
      </c>
      <c r="I15" s="9">
        <f t="shared" si="6"/>
        <v>6000</v>
      </c>
      <c r="J15" s="9">
        <f t="shared" si="1"/>
        <v>4745.0861792571222</v>
      </c>
      <c r="K15" s="9">
        <f t="shared" si="2"/>
        <v>83829.85583354249</v>
      </c>
      <c r="L15" s="24"/>
      <c r="M15" s="9">
        <f t="shared" si="7"/>
        <v>0</v>
      </c>
      <c r="N15" s="9">
        <f t="shared" si="0"/>
        <v>0</v>
      </c>
      <c r="O15" s="9">
        <f t="shared" si="3"/>
        <v>0</v>
      </c>
      <c r="Q15" s="31">
        <f t="shared" si="4"/>
        <v>83829.85583354249</v>
      </c>
    </row>
    <row r="16" spans="4:112" x14ac:dyDescent="0.3">
      <c r="F16" s="1"/>
      <c r="G16" s="5">
        <v>11</v>
      </c>
      <c r="H16" s="9">
        <f t="shared" si="5"/>
        <v>83829.85583354249</v>
      </c>
      <c r="I16" s="9">
        <f t="shared" si="6"/>
        <v>6000</v>
      </c>
      <c r="J16" s="9">
        <f t="shared" si="1"/>
        <v>5389.7913500125496</v>
      </c>
      <c r="K16" s="9">
        <f t="shared" si="2"/>
        <v>95219.647183555033</v>
      </c>
      <c r="L16" s="24"/>
      <c r="M16" s="9">
        <f t="shared" si="7"/>
        <v>0</v>
      </c>
      <c r="N16" s="9">
        <f t="shared" si="0"/>
        <v>0</v>
      </c>
      <c r="O16" s="9">
        <f t="shared" si="3"/>
        <v>0</v>
      </c>
      <c r="Q16" s="31">
        <f t="shared" si="4"/>
        <v>95219.647183555033</v>
      </c>
    </row>
    <row r="17" spans="6:17" x14ac:dyDescent="0.3">
      <c r="F17" s="1"/>
      <c r="G17" s="5">
        <v>12</v>
      </c>
      <c r="H17" s="9">
        <f t="shared" si="5"/>
        <v>95219.647183555033</v>
      </c>
      <c r="I17" s="9">
        <f t="shared" si="6"/>
        <v>6000</v>
      </c>
      <c r="J17" s="9">
        <f t="shared" si="1"/>
        <v>6073.1788310133015</v>
      </c>
      <c r="K17" s="9">
        <f t="shared" si="2"/>
        <v>107292.82601456833</v>
      </c>
      <c r="L17" s="24"/>
      <c r="M17" s="9">
        <f t="shared" si="7"/>
        <v>0</v>
      </c>
      <c r="N17" s="9">
        <f t="shared" si="0"/>
        <v>0</v>
      </c>
      <c r="O17" s="9">
        <f t="shared" si="3"/>
        <v>0</v>
      </c>
      <c r="Q17" s="31">
        <f t="shared" si="4"/>
        <v>107292.82601456833</v>
      </c>
    </row>
    <row r="18" spans="6:17" x14ac:dyDescent="0.3">
      <c r="F18" s="1"/>
      <c r="G18" s="5">
        <v>13</v>
      </c>
      <c r="H18" s="9">
        <f t="shared" si="5"/>
        <v>107292.82601456833</v>
      </c>
      <c r="I18" s="9">
        <f t="shared" si="6"/>
        <v>6000</v>
      </c>
      <c r="J18" s="9">
        <f t="shared" si="1"/>
        <v>6797.5695608740998</v>
      </c>
      <c r="K18" s="9">
        <f t="shared" si="2"/>
        <v>120090.39557544242</v>
      </c>
      <c r="L18" s="24"/>
      <c r="M18" s="9">
        <f t="shared" si="7"/>
        <v>0</v>
      </c>
      <c r="N18" s="9">
        <f t="shared" si="0"/>
        <v>0</v>
      </c>
      <c r="O18" s="9">
        <f t="shared" si="3"/>
        <v>0</v>
      </c>
      <c r="Q18" s="31">
        <f t="shared" si="4"/>
        <v>120090.39557544242</v>
      </c>
    </row>
    <row r="19" spans="6:17" x14ac:dyDescent="0.3">
      <c r="F19" s="1"/>
      <c r="G19" s="5">
        <v>14</v>
      </c>
      <c r="H19" s="9">
        <f t="shared" si="5"/>
        <v>120090.39557544242</v>
      </c>
      <c r="I19" s="9">
        <f t="shared" si="6"/>
        <v>6000</v>
      </c>
      <c r="J19" s="9">
        <f t="shared" si="1"/>
        <v>7565.4237345265456</v>
      </c>
      <c r="K19" s="9">
        <f t="shared" si="2"/>
        <v>133655.81930996897</v>
      </c>
      <c r="L19" s="24"/>
      <c r="M19" s="9">
        <f t="shared" si="7"/>
        <v>0</v>
      </c>
      <c r="N19" s="9">
        <f t="shared" si="0"/>
        <v>0</v>
      </c>
      <c r="O19" s="9">
        <f t="shared" si="3"/>
        <v>0</v>
      </c>
      <c r="Q19" s="31">
        <f t="shared" si="4"/>
        <v>133655.81930996897</v>
      </c>
    </row>
    <row r="20" spans="6:17" x14ac:dyDescent="0.3">
      <c r="F20" s="1"/>
      <c r="G20" s="5">
        <v>15</v>
      </c>
      <c r="H20" s="9">
        <f t="shared" si="5"/>
        <v>133655.81930996897</v>
      </c>
      <c r="I20" s="9">
        <f t="shared" si="6"/>
        <v>6000</v>
      </c>
      <c r="J20" s="9">
        <f t="shared" si="1"/>
        <v>8379.3491585981374</v>
      </c>
      <c r="K20" s="9">
        <f t="shared" si="2"/>
        <v>148035.16846856711</v>
      </c>
      <c r="L20" s="24"/>
      <c r="M20" s="9">
        <f t="shared" si="7"/>
        <v>0</v>
      </c>
      <c r="N20" s="9">
        <f t="shared" si="0"/>
        <v>0</v>
      </c>
      <c r="O20" s="9">
        <f t="shared" si="3"/>
        <v>0</v>
      </c>
      <c r="Q20" s="31">
        <f t="shared" si="4"/>
        <v>148035.16846856711</v>
      </c>
    </row>
    <row r="21" spans="6:17" x14ac:dyDescent="0.3">
      <c r="F21" s="1"/>
      <c r="G21" s="5">
        <v>16</v>
      </c>
      <c r="H21" s="9">
        <f t="shared" si="5"/>
        <v>148035.16846856711</v>
      </c>
      <c r="I21" s="9">
        <f t="shared" si="6"/>
        <v>6000</v>
      </c>
      <c r="J21" s="9">
        <f t="shared" si="1"/>
        <v>9242.1101081140259</v>
      </c>
      <c r="K21" s="9">
        <f t="shared" si="2"/>
        <v>163277.27857668113</v>
      </c>
      <c r="L21" s="24"/>
      <c r="M21" s="9">
        <f t="shared" si="7"/>
        <v>0</v>
      </c>
      <c r="N21" s="9">
        <f t="shared" si="0"/>
        <v>0</v>
      </c>
      <c r="O21" s="9">
        <f t="shared" si="3"/>
        <v>0</v>
      </c>
      <c r="Q21" s="31">
        <f t="shared" si="4"/>
        <v>163277.27857668113</v>
      </c>
    </row>
    <row r="22" spans="6:17" x14ac:dyDescent="0.3">
      <c r="F22" s="1"/>
      <c r="G22" s="5">
        <v>17</v>
      </c>
      <c r="H22" s="9">
        <f t="shared" si="5"/>
        <v>163277.27857668113</v>
      </c>
      <c r="I22" s="9">
        <f t="shared" si="6"/>
        <v>6000</v>
      </c>
      <c r="J22" s="9">
        <f t="shared" si="1"/>
        <v>10156.636714600867</v>
      </c>
      <c r="K22" s="9">
        <f t="shared" si="2"/>
        <v>179433.915291282</v>
      </c>
      <c r="L22" s="24"/>
      <c r="M22" s="9">
        <f t="shared" si="7"/>
        <v>0</v>
      </c>
      <c r="N22" s="9">
        <f t="shared" si="0"/>
        <v>0</v>
      </c>
      <c r="O22" s="9">
        <f t="shared" si="3"/>
        <v>0</v>
      </c>
      <c r="Q22" s="31">
        <f t="shared" si="4"/>
        <v>179433.915291282</v>
      </c>
    </row>
    <row r="23" spans="6:17" x14ac:dyDescent="0.3">
      <c r="F23" s="1"/>
      <c r="G23" s="5">
        <v>18</v>
      </c>
      <c r="H23" s="9">
        <f t="shared" si="5"/>
        <v>179433.915291282</v>
      </c>
      <c r="I23" s="9">
        <f t="shared" si="6"/>
        <v>6000</v>
      </c>
      <c r="J23" s="9">
        <f t="shared" si="1"/>
        <v>11126.03491747692</v>
      </c>
      <c r="K23" s="9">
        <f t="shared" si="2"/>
        <v>196559.95020875891</v>
      </c>
      <c r="L23" s="24"/>
      <c r="M23" s="9">
        <f t="shared" si="7"/>
        <v>0</v>
      </c>
      <c r="N23" s="9">
        <f t="shared" si="0"/>
        <v>0</v>
      </c>
      <c r="O23" s="9">
        <f t="shared" si="3"/>
        <v>0</v>
      </c>
      <c r="Q23" s="31">
        <f t="shared" si="4"/>
        <v>196559.95020875891</v>
      </c>
    </row>
    <row r="24" spans="6:17" x14ac:dyDescent="0.3">
      <c r="F24" s="1"/>
      <c r="G24" s="5">
        <v>19</v>
      </c>
      <c r="H24" s="9">
        <f t="shared" si="5"/>
        <v>196559.95020875891</v>
      </c>
      <c r="I24" s="9">
        <f t="shared" si="6"/>
        <v>6000</v>
      </c>
      <c r="J24" s="9">
        <f t="shared" si="1"/>
        <v>12153.597012525534</v>
      </c>
      <c r="K24" s="9">
        <f t="shared" si="2"/>
        <v>214713.54722128445</v>
      </c>
      <c r="L24" s="24"/>
      <c r="M24" s="9">
        <f t="shared" si="7"/>
        <v>0</v>
      </c>
      <c r="N24" s="9">
        <f t="shared" si="0"/>
        <v>0</v>
      </c>
      <c r="O24" s="9">
        <f t="shared" si="3"/>
        <v>0</v>
      </c>
      <c r="Q24" s="31">
        <f t="shared" si="4"/>
        <v>214713.54722128445</v>
      </c>
    </row>
    <row r="25" spans="6:17" x14ac:dyDescent="0.3">
      <c r="F25" s="3"/>
      <c r="G25" s="5">
        <v>20</v>
      </c>
      <c r="H25" s="9">
        <f t="shared" si="5"/>
        <v>214713.54722128445</v>
      </c>
      <c r="I25" s="9">
        <f t="shared" si="6"/>
        <v>6000</v>
      </c>
      <c r="J25" s="9">
        <f t="shared" si="1"/>
        <v>13242.812833277067</v>
      </c>
      <c r="K25" s="9">
        <f t="shared" si="2"/>
        <v>233956.36005456152</v>
      </c>
      <c r="L25" s="25"/>
      <c r="M25" s="9">
        <f t="shared" si="7"/>
        <v>0</v>
      </c>
      <c r="N25" s="9">
        <f t="shared" si="0"/>
        <v>0</v>
      </c>
      <c r="O25" s="9">
        <f t="shared" si="3"/>
        <v>0</v>
      </c>
      <c r="Q25" s="31">
        <f t="shared" si="4"/>
        <v>233956.36005456152</v>
      </c>
    </row>
    <row r="26" spans="6:17" x14ac:dyDescent="0.3">
      <c r="F26" s="3"/>
      <c r="G26" s="5">
        <v>21</v>
      </c>
      <c r="H26" s="9">
        <f t="shared" si="5"/>
        <v>233956.36005456152</v>
      </c>
      <c r="I26" s="9">
        <f t="shared" si="6"/>
        <v>6000</v>
      </c>
      <c r="J26" s="9">
        <f t="shared" si="1"/>
        <v>14397.38160327369</v>
      </c>
      <c r="K26" s="9">
        <f t="shared" si="2"/>
        <v>254353.7416578352</v>
      </c>
      <c r="L26" s="25"/>
      <c r="M26" s="9">
        <f t="shared" si="7"/>
        <v>0</v>
      </c>
      <c r="N26" s="9">
        <f t="shared" si="0"/>
        <v>0</v>
      </c>
      <c r="O26" s="9">
        <f t="shared" si="3"/>
        <v>0</v>
      </c>
      <c r="Q26" s="31">
        <f t="shared" si="4"/>
        <v>254353.7416578352</v>
      </c>
    </row>
    <row r="27" spans="6:17" x14ac:dyDescent="0.3">
      <c r="F27" s="3"/>
      <c r="G27" s="5">
        <v>22</v>
      </c>
      <c r="H27" s="9">
        <f t="shared" si="5"/>
        <v>254353.7416578352</v>
      </c>
      <c r="I27" s="9">
        <f t="shared" si="6"/>
        <v>6000</v>
      </c>
      <c r="J27" s="9">
        <f t="shared" si="1"/>
        <v>15621.22449947011</v>
      </c>
      <c r="K27" s="9">
        <f t="shared" si="2"/>
        <v>275974.96615730529</v>
      </c>
      <c r="L27" s="25"/>
      <c r="M27" s="9">
        <f t="shared" si="7"/>
        <v>0</v>
      </c>
      <c r="N27" s="9">
        <f t="shared" si="0"/>
        <v>0</v>
      </c>
      <c r="O27" s="9">
        <f t="shared" si="3"/>
        <v>0</v>
      </c>
      <c r="Q27" s="31">
        <f t="shared" si="4"/>
        <v>275974.96615730529</v>
      </c>
    </row>
    <row r="28" spans="6:17" x14ac:dyDescent="0.3">
      <c r="F28" s="3"/>
      <c r="G28" s="5">
        <v>23</v>
      </c>
      <c r="H28" s="9">
        <f t="shared" si="5"/>
        <v>275974.96615730529</v>
      </c>
      <c r="I28" s="9">
        <f t="shared" si="6"/>
        <v>6000</v>
      </c>
      <c r="J28" s="9">
        <f t="shared" si="1"/>
        <v>16918.497969438318</v>
      </c>
      <c r="K28" s="9">
        <f t="shared" si="2"/>
        <v>298893.46412674361</v>
      </c>
      <c r="L28" s="25"/>
      <c r="M28" s="9">
        <f t="shared" si="7"/>
        <v>0</v>
      </c>
      <c r="N28" s="9">
        <f t="shared" si="0"/>
        <v>0</v>
      </c>
      <c r="O28" s="9">
        <f t="shared" si="3"/>
        <v>0</v>
      </c>
      <c r="Q28" s="31">
        <f t="shared" si="4"/>
        <v>298893.46412674361</v>
      </c>
    </row>
    <row r="29" spans="6:17" x14ac:dyDescent="0.3">
      <c r="F29" s="3"/>
      <c r="G29" s="5">
        <v>24</v>
      </c>
      <c r="H29" s="9">
        <f t="shared" si="5"/>
        <v>298893.46412674361</v>
      </c>
      <c r="I29" s="9">
        <f t="shared" si="6"/>
        <v>6000</v>
      </c>
      <c r="J29" s="9">
        <f t="shared" si="1"/>
        <v>18293.607847604617</v>
      </c>
      <c r="K29" s="9">
        <f t="shared" si="2"/>
        <v>323187.07197434822</v>
      </c>
      <c r="L29" s="25"/>
      <c r="M29" s="9">
        <f t="shared" si="7"/>
        <v>0</v>
      </c>
      <c r="N29" s="9">
        <f t="shared" si="0"/>
        <v>0</v>
      </c>
      <c r="O29" s="9">
        <f t="shared" si="3"/>
        <v>0</v>
      </c>
      <c r="Q29" s="31">
        <f t="shared" si="4"/>
        <v>323187.07197434822</v>
      </c>
    </row>
    <row r="30" spans="6:17" x14ac:dyDescent="0.3">
      <c r="F30" s="3"/>
      <c r="G30" s="5">
        <v>25</v>
      </c>
      <c r="H30" s="9">
        <f t="shared" si="5"/>
        <v>323187.07197434822</v>
      </c>
      <c r="I30" s="9">
        <f t="shared" si="6"/>
        <v>6000</v>
      </c>
      <c r="J30" s="9">
        <f t="shared" si="1"/>
        <v>19751.224318460892</v>
      </c>
      <c r="K30" s="9">
        <f t="shared" si="2"/>
        <v>348938.29629280913</v>
      </c>
      <c r="L30" s="25"/>
      <c r="M30" s="9">
        <f t="shared" si="7"/>
        <v>0</v>
      </c>
      <c r="N30" s="9">
        <f t="shared" si="0"/>
        <v>0</v>
      </c>
      <c r="O30" s="9">
        <f t="shared" si="3"/>
        <v>0</v>
      </c>
      <c r="Q30" s="31">
        <f t="shared" si="4"/>
        <v>348938.29629280913</v>
      </c>
    </row>
    <row r="31" spans="6:17" x14ac:dyDescent="0.3">
      <c r="F31" s="3"/>
      <c r="G31" s="5">
        <v>26</v>
      </c>
      <c r="H31" s="9">
        <f t="shared" si="5"/>
        <v>348938.29629280913</v>
      </c>
      <c r="I31" s="9">
        <f t="shared" si="6"/>
        <v>6000</v>
      </c>
      <c r="J31" s="9">
        <f t="shared" si="1"/>
        <v>21296.297777568547</v>
      </c>
      <c r="K31" s="9">
        <f t="shared" si="2"/>
        <v>376234.5940703777</v>
      </c>
      <c r="L31" s="25"/>
      <c r="M31" s="9">
        <f t="shared" si="7"/>
        <v>0</v>
      </c>
      <c r="N31" s="9">
        <f t="shared" si="0"/>
        <v>0</v>
      </c>
      <c r="O31" s="9">
        <f t="shared" si="3"/>
        <v>0</v>
      </c>
      <c r="Q31" s="31">
        <f t="shared" si="4"/>
        <v>376234.5940703777</v>
      </c>
    </row>
    <row r="32" spans="6:17" x14ac:dyDescent="0.3">
      <c r="F32" s="3"/>
      <c r="G32" s="5">
        <v>27</v>
      </c>
      <c r="H32" s="9">
        <f t="shared" si="5"/>
        <v>376234.5940703777</v>
      </c>
      <c r="I32" s="9">
        <f t="shared" si="6"/>
        <v>6000</v>
      </c>
      <c r="J32" s="9">
        <f t="shared" si="1"/>
        <v>22934.075644222663</v>
      </c>
      <c r="K32" s="9">
        <f t="shared" si="2"/>
        <v>405168.66971460037</v>
      </c>
      <c r="L32" s="25"/>
      <c r="M32" s="9">
        <f t="shared" si="7"/>
        <v>0</v>
      </c>
      <c r="N32" s="9">
        <f t="shared" si="0"/>
        <v>0</v>
      </c>
      <c r="O32" s="9">
        <f t="shared" si="3"/>
        <v>0</v>
      </c>
      <c r="Q32" s="31">
        <f t="shared" si="4"/>
        <v>405168.66971460037</v>
      </c>
    </row>
    <row r="33" spans="6:17" x14ac:dyDescent="0.3">
      <c r="F33" s="3"/>
      <c r="G33" s="5">
        <v>28</v>
      </c>
      <c r="H33" s="9">
        <f t="shared" si="5"/>
        <v>405168.66971460037</v>
      </c>
      <c r="I33" s="9">
        <f t="shared" si="6"/>
        <v>6000</v>
      </c>
      <c r="J33" s="9">
        <f t="shared" si="1"/>
        <v>24670.12018287602</v>
      </c>
      <c r="K33" s="9">
        <f t="shared" si="2"/>
        <v>435838.78989747638</v>
      </c>
      <c r="L33" s="25"/>
      <c r="M33" s="9">
        <f t="shared" si="7"/>
        <v>0</v>
      </c>
      <c r="N33" s="9">
        <f t="shared" si="0"/>
        <v>0</v>
      </c>
      <c r="O33" s="9">
        <f t="shared" si="3"/>
        <v>0</v>
      </c>
      <c r="Q33" s="31">
        <f t="shared" si="4"/>
        <v>435838.78989747638</v>
      </c>
    </row>
    <row r="34" spans="6:17" x14ac:dyDescent="0.3">
      <c r="F34" s="3"/>
      <c r="G34" s="5">
        <v>29</v>
      </c>
      <c r="H34" s="9">
        <f t="shared" si="5"/>
        <v>435838.78989747638</v>
      </c>
      <c r="I34" s="9">
        <f t="shared" si="6"/>
        <v>6000</v>
      </c>
      <c r="J34" s="9">
        <f t="shared" si="1"/>
        <v>26510.327393848584</v>
      </c>
      <c r="K34" s="9">
        <f t="shared" si="2"/>
        <v>468349.11729132495</v>
      </c>
      <c r="L34" s="25"/>
      <c r="M34" s="9">
        <f t="shared" si="7"/>
        <v>0</v>
      </c>
      <c r="N34" s="9">
        <f t="shared" si="0"/>
        <v>0</v>
      </c>
      <c r="O34" s="9">
        <f t="shared" si="3"/>
        <v>0</v>
      </c>
      <c r="Q34" s="31">
        <f t="shared" si="4"/>
        <v>468349.11729132495</v>
      </c>
    </row>
    <row r="35" spans="6:17" x14ac:dyDescent="0.3">
      <c r="F35" s="3"/>
      <c r="G35" s="5">
        <v>30</v>
      </c>
      <c r="H35" s="9">
        <f t="shared" si="5"/>
        <v>468349.11729132495</v>
      </c>
      <c r="I35" s="9">
        <f t="shared" si="6"/>
        <v>6000</v>
      </c>
      <c r="J35" s="9">
        <f t="shared" si="1"/>
        <v>28460.947037479495</v>
      </c>
      <c r="K35" s="9">
        <f t="shared" si="2"/>
        <v>502810.06432880444</v>
      </c>
      <c r="L35" s="25"/>
      <c r="M35" s="9">
        <f t="shared" si="7"/>
        <v>0</v>
      </c>
      <c r="N35" s="9">
        <f t="shared" si="0"/>
        <v>0</v>
      </c>
      <c r="O35" s="9">
        <f t="shared" si="3"/>
        <v>0</v>
      </c>
      <c r="Q35" s="31">
        <f t="shared" si="4"/>
        <v>502810.06432880444</v>
      </c>
    </row>
    <row r="36" spans="6:17" x14ac:dyDescent="0.3">
      <c r="F36" s="3"/>
      <c r="G36" s="5">
        <v>31</v>
      </c>
      <c r="H36" s="9">
        <f t="shared" si="5"/>
        <v>502810.06432880444</v>
      </c>
      <c r="I36" s="9">
        <f t="shared" si="6"/>
        <v>6000</v>
      </c>
      <c r="J36" s="9">
        <f t="shared" si="1"/>
        <v>30528.603859728264</v>
      </c>
      <c r="K36" s="9">
        <f t="shared" si="2"/>
        <v>539338.6681885327</v>
      </c>
      <c r="L36" s="26"/>
      <c r="M36" s="9">
        <f t="shared" si="7"/>
        <v>0</v>
      </c>
      <c r="N36" s="9">
        <f t="shared" si="0"/>
        <v>0</v>
      </c>
      <c r="O36" s="9">
        <f t="shared" si="3"/>
        <v>0</v>
      </c>
      <c r="Q36" s="31">
        <f t="shared" si="4"/>
        <v>539338.6681885327</v>
      </c>
    </row>
    <row r="37" spans="6:17" x14ac:dyDescent="0.3">
      <c r="F37" s="3"/>
      <c r="G37" s="5">
        <v>32</v>
      </c>
      <c r="H37" s="9">
        <f t="shared" si="5"/>
        <v>539338.6681885327</v>
      </c>
      <c r="I37" s="9">
        <f t="shared" si="6"/>
        <v>6000</v>
      </c>
      <c r="J37" s="9">
        <f t="shared" si="1"/>
        <v>32720.320091311962</v>
      </c>
      <c r="K37" s="9">
        <f t="shared" si="2"/>
        <v>578058.98827984463</v>
      </c>
      <c r="L37" s="26"/>
      <c r="M37" s="9">
        <f t="shared" si="7"/>
        <v>0</v>
      </c>
      <c r="N37" s="9">
        <f t="shared" si="0"/>
        <v>0</v>
      </c>
      <c r="O37" s="9">
        <f t="shared" si="3"/>
        <v>0</v>
      </c>
      <c r="Q37" s="31">
        <f t="shared" si="4"/>
        <v>578058.98827984463</v>
      </c>
    </row>
    <row r="38" spans="6:17" x14ac:dyDescent="0.3">
      <c r="F38" s="3"/>
      <c r="G38" s="5">
        <v>33</v>
      </c>
      <c r="H38" s="9">
        <f t="shared" si="5"/>
        <v>578058.98827984463</v>
      </c>
      <c r="I38" s="9">
        <f t="shared" si="6"/>
        <v>6000</v>
      </c>
      <c r="J38" s="9">
        <f t="shared" si="1"/>
        <v>35043.539296790674</v>
      </c>
      <c r="K38" s="9">
        <f t="shared" si="2"/>
        <v>619102.52757663536</v>
      </c>
      <c r="L38" s="26"/>
      <c r="M38" s="9">
        <f t="shared" si="7"/>
        <v>0</v>
      </c>
      <c r="N38" s="9">
        <f t="shared" si="0"/>
        <v>0</v>
      </c>
      <c r="O38" s="9">
        <f t="shared" si="3"/>
        <v>0</v>
      </c>
      <c r="Q38" s="31">
        <f t="shared" si="4"/>
        <v>619102.52757663536</v>
      </c>
    </row>
    <row r="39" spans="6:17" x14ac:dyDescent="0.3">
      <c r="F39" s="3"/>
      <c r="G39" s="5">
        <v>34</v>
      </c>
      <c r="H39" s="9">
        <f t="shared" si="5"/>
        <v>619102.52757663536</v>
      </c>
      <c r="I39" s="9">
        <f t="shared" si="6"/>
        <v>6000</v>
      </c>
      <c r="J39" s="9">
        <f t="shared" si="1"/>
        <v>37506.151654598121</v>
      </c>
      <c r="K39" s="9">
        <f t="shared" si="2"/>
        <v>662608.67923123343</v>
      </c>
      <c r="L39" s="26"/>
      <c r="M39" s="9">
        <f t="shared" si="7"/>
        <v>0</v>
      </c>
      <c r="N39" s="9">
        <f t="shared" si="0"/>
        <v>0</v>
      </c>
      <c r="O39" s="9">
        <f t="shared" si="3"/>
        <v>0</v>
      </c>
      <c r="Q39" s="31">
        <f t="shared" si="4"/>
        <v>662608.67923123343</v>
      </c>
    </row>
    <row r="40" spans="6:17" x14ac:dyDescent="0.3">
      <c r="F40" s="3"/>
      <c r="G40" s="5">
        <v>35</v>
      </c>
      <c r="H40" s="9">
        <f t="shared" si="5"/>
        <v>662608.67923123343</v>
      </c>
      <c r="I40" s="9">
        <f t="shared" si="6"/>
        <v>6000</v>
      </c>
      <c r="J40" s="9">
        <f t="shared" si="1"/>
        <v>40116.520753874007</v>
      </c>
      <c r="K40" s="10">
        <f t="shared" si="2"/>
        <v>708725.19998510741</v>
      </c>
      <c r="L40" s="26"/>
      <c r="M40" s="9">
        <f t="shared" si="7"/>
        <v>0</v>
      </c>
      <c r="N40" s="9">
        <f t="shared" si="0"/>
        <v>0</v>
      </c>
      <c r="O40" s="9">
        <f t="shared" si="3"/>
        <v>0</v>
      </c>
      <c r="Q40" s="31">
        <f t="shared" si="4"/>
        <v>708725.19998510741</v>
      </c>
    </row>
    <row r="41" spans="6:17" x14ac:dyDescent="0.3">
      <c r="F41" s="1"/>
      <c r="G41" s="1"/>
      <c r="L41" s="26"/>
      <c r="N41" s="1"/>
      <c r="O41" s="1"/>
    </row>
    <row r="42" spans="6:17" x14ac:dyDescent="0.3">
      <c r="F42" s="1"/>
      <c r="G42" s="1"/>
      <c r="L42" s="26"/>
      <c r="N42" s="1"/>
      <c r="O42" s="1"/>
    </row>
    <row r="43" spans="6:17" x14ac:dyDescent="0.3">
      <c r="F43" s="1"/>
      <c r="G43" s="1"/>
      <c r="L43" s="26"/>
      <c r="N43" s="1"/>
      <c r="O43" s="1"/>
    </row>
    <row r="44" spans="6:17" x14ac:dyDescent="0.3">
      <c r="F44" s="1"/>
      <c r="G44" s="1"/>
      <c r="L44" s="26"/>
      <c r="N44" s="1"/>
      <c r="O44" s="1"/>
    </row>
    <row r="45" spans="6:17" x14ac:dyDescent="0.3">
      <c r="F45" s="1"/>
      <c r="G45" s="1"/>
      <c r="L45" s="26"/>
      <c r="N45" s="1"/>
      <c r="O45" s="1"/>
    </row>
    <row r="46" spans="6:17" x14ac:dyDescent="0.3">
      <c r="F46" s="1"/>
      <c r="G46" s="1"/>
      <c r="L46" s="26"/>
      <c r="N46" s="1"/>
      <c r="O46" s="1"/>
    </row>
    <row r="47" spans="6:17" x14ac:dyDescent="0.3">
      <c r="F47" s="1"/>
      <c r="G47" s="1"/>
      <c r="L47" s="26"/>
      <c r="N47" s="1"/>
      <c r="O47" s="1"/>
    </row>
    <row r="48" spans="6:17" x14ac:dyDescent="0.3">
      <c r="F48" s="1"/>
      <c r="G48" s="1"/>
      <c r="L48" s="26"/>
      <c r="N48" s="1"/>
      <c r="O48" s="1"/>
    </row>
    <row r="49" spans="6:15" x14ac:dyDescent="0.3">
      <c r="F49" s="1"/>
      <c r="G49" s="1"/>
      <c r="H49" s="8"/>
      <c r="L49" s="27"/>
      <c r="N49" s="1"/>
      <c r="O49" s="1"/>
    </row>
    <row r="50" spans="6:15" x14ac:dyDescent="0.3">
      <c r="F50" s="1"/>
      <c r="G50" s="1"/>
      <c r="H50" s="8"/>
      <c r="L50" s="27"/>
      <c r="N50" s="1"/>
      <c r="O50" s="1"/>
    </row>
    <row r="51" spans="6:15" x14ac:dyDescent="0.3">
      <c r="F51" s="1"/>
      <c r="G51" s="1"/>
      <c r="H51" s="8"/>
      <c r="L51" s="27"/>
      <c r="N51" s="1"/>
      <c r="O51" s="1"/>
    </row>
    <row r="52" spans="6:15" x14ac:dyDescent="0.3">
      <c r="F52" s="1"/>
      <c r="G52" s="1"/>
      <c r="H52" s="8"/>
      <c r="L52" s="27"/>
      <c r="N52" s="1"/>
      <c r="O52" s="1"/>
    </row>
    <row r="53" spans="6:15" x14ac:dyDescent="0.3">
      <c r="F53" s="1"/>
      <c r="G53" s="1"/>
      <c r="H53" s="8"/>
      <c r="L53" s="27"/>
      <c r="N53" s="1"/>
      <c r="O53" s="1"/>
    </row>
    <row r="54" spans="6:15" x14ac:dyDescent="0.3">
      <c r="F54" s="1"/>
      <c r="G54" s="1"/>
      <c r="H54" s="8"/>
      <c r="L54" s="27"/>
      <c r="N54" s="1"/>
      <c r="O54" s="1"/>
    </row>
    <row r="55" spans="6:15" x14ac:dyDescent="0.3">
      <c r="F55" s="1"/>
      <c r="G55" s="1"/>
      <c r="H55" s="8"/>
      <c r="L55" s="27"/>
      <c r="N55" s="1"/>
      <c r="O55" s="1"/>
    </row>
    <row r="56" spans="6:15" x14ac:dyDescent="0.3">
      <c r="F56" s="1"/>
      <c r="G56" s="1"/>
      <c r="H56" s="8"/>
      <c r="L56" s="27"/>
      <c r="N56" s="1"/>
      <c r="O56" s="1"/>
    </row>
    <row r="57" spans="6:15" x14ac:dyDescent="0.3">
      <c r="F57" s="1"/>
      <c r="G57" s="1"/>
      <c r="H57" s="8"/>
      <c r="L57" s="27"/>
      <c r="N57" s="1"/>
      <c r="O57" s="1"/>
    </row>
    <row r="58" spans="6:15" x14ac:dyDescent="0.3">
      <c r="F58" s="1"/>
      <c r="G58" s="1"/>
      <c r="H58" s="8"/>
      <c r="L58" s="27"/>
      <c r="N58" s="1"/>
      <c r="O58" s="1"/>
    </row>
    <row r="59" spans="6:15" x14ac:dyDescent="0.3">
      <c r="F59" s="1"/>
      <c r="G59" s="1"/>
      <c r="H59" s="8"/>
      <c r="L59" s="27"/>
      <c r="N59" s="1"/>
      <c r="O59" s="1"/>
    </row>
  </sheetData>
  <mergeCells count="5">
    <mergeCell ref="H1:K1"/>
    <mergeCell ref="M1:O1"/>
    <mergeCell ref="D5:E5"/>
    <mergeCell ref="M4:O4"/>
    <mergeCell ref="E3:K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J57"/>
  <sheetViews>
    <sheetView zoomScale="110" zoomScaleNormal="110" workbookViewId="0">
      <pane xSplit="5" ySplit="14" topLeftCell="F32" activePane="bottomRight" state="frozen"/>
      <selection pane="topRight" activeCell="G1" sqref="G1"/>
      <selection pane="bottomLeft" activeCell="A15" sqref="A15"/>
      <selection pane="bottomRight" activeCell="S9" sqref="S9"/>
    </sheetView>
  </sheetViews>
  <sheetFormatPr defaultRowHeight="14.4" x14ac:dyDescent="0.3"/>
  <cols>
    <col min="2" max="2" width="10.109375" customWidth="1"/>
    <col min="3" max="3" width="14.44140625" bestFit="1" customWidth="1"/>
    <col min="4" max="4" width="12" customWidth="1"/>
    <col min="5" max="5" width="2.33203125" customWidth="1"/>
    <col min="6" max="6" width="6.33203125" customWidth="1"/>
    <col min="7" max="7" width="13.88671875" style="6" bestFit="1" customWidth="1"/>
    <col min="8" max="8" width="11.6640625" style="6" bestFit="1" customWidth="1"/>
    <col min="9" max="9" width="12.33203125" style="6" bestFit="1" customWidth="1"/>
    <col min="10" max="10" width="11.88671875" style="6" bestFit="1" customWidth="1"/>
    <col min="11" max="11" width="2.21875" style="28" customWidth="1"/>
    <col min="12" max="12" width="10.5546875" bestFit="1" customWidth="1"/>
    <col min="13" max="13" width="12.5546875" bestFit="1" customWidth="1"/>
    <col min="14" max="14" width="10" customWidth="1"/>
    <col min="15" max="15" width="11.5546875" customWidth="1"/>
    <col min="16" max="16" width="8.109375" bestFit="1" customWidth="1"/>
    <col min="17" max="17" width="10.88671875" customWidth="1"/>
  </cols>
  <sheetData>
    <row r="1" spans="3:114" s="4" customFormat="1" x14ac:dyDescent="0.3">
      <c r="E1" s="12"/>
      <c r="F1" s="12"/>
      <c r="G1" s="87" t="s">
        <v>4</v>
      </c>
      <c r="H1" s="87"/>
      <c r="I1" s="87"/>
      <c r="J1" s="87"/>
      <c r="K1" s="22"/>
      <c r="L1" s="88" t="s">
        <v>15</v>
      </c>
      <c r="M1" s="89"/>
      <c r="N1" s="89"/>
      <c r="O1" s="89"/>
      <c r="P1" s="89"/>
      <c r="Q1" s="89"/>
    </row>
    <row r="2" spans="3:114" s="4" customFormat="1" x14ac:dyDescent="0.3">
      <c r="F2" s="4" t="s">
        <v>8</v>
      </c>
      <c r="G2" s="8"/>
      <c r="H2" s="8"/>
      <c r="I2" s="8"/>
      <c r="J2" s="8" t="s">
        <v>2</v>
      </c>
      <c r="K2" s="23"/>
      <c r="L2" s="14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</row>
    <row r="3" spans="3:114" s="4" customFormat="1" x14ac:dyDescent="0.3">
      <c r="C3" s="90" t="s">
        <v>6</v>
      </c>
      <c r="D3" s="90"/>
      <c r="E3" s="16"/>
      <c r="F3" s="16" t="s">
        <v>5</v>
      </c>
      <c r="G3" s="18" t="s">
        <v>0</v>
      </c>
      <c r="H3" s="18" t="s">
        <v>4</v>
      </c>
      <c r="I3" s="18" t="s">
        <v>1</v>
      </c>
      <c r="J3" s="18" t="s">
        <v>0</v>
      </c>
      <c r="K3" s="23"/>
      <c r="L3" s="17" t="s">
        <v>4</v>
      </c>
      <c r="M3" s="16" t="s">
        <v>11</v>
      </c>
      <c r="N3" s="16" t="s">
        <v>12</v>
      </c>
      <c r="O3" s="16" t="s">
        <v>22</v>
      </c>
      <c r="P3" s="16" t="s">
        <v>13</v>
      </c>
      <c r="Q3" s="16" t="s">
        <v>14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</row>
    <row r="4" spans="3:114" x14ac:dyDescent="0.3">
      <c r="E4" s="1"/>
      <c r="F4" s="5">
        <v>1</v>
      </c>
      <c r="G4" s="9">
        <f>D6</f>
        <v>708725.19998510741</v>
      </c>
      <c r="H4" s="9">
        <f>D9</f>
        <v>40000</v>
      </c>
      <c r="I4" s="9">
        <f t="shared" ref="I4:I20" si="0">(G4-H4)*$D$7</f>
        <v>40123.511999106442</v>
      </c>
      <c r="J4" s="9">
        <f t="shared" ref="J4:J37" si="1">G4-H4+I4</f>
        <v>708848.71198421391</v>
      </c>
      <c r="K4" s="24"/>
      <c r="L4" s="9">
        <f t="shared" ref="L4:L37" si="2">H4</f>
        <v>40000</v>
      </c>
      <c r="M4" s="9">
        <v>8000</v>
      </c>
      <c r="N4" s="9">
        <v>7000</v>
      </c>
      <c r="O4" s="9">
        <f>SUM(L4:N4)</f>
        <v>55000</v>
      </c>
      <c r="P4" s="9">
        <f>(L4+M4+N4)*-$D$11</f>
        <v>-11000</v>
      </c>
      <c r="Q4" s="2">
        <f>SUM(L4:N4)+P4</f>
        <v>44000</v>
      </c>
    </row>
    <row r="5" spans="3:114" x14ac:dyDescent="0.3">
      <c r="C5" s="4"/>
      <c r="E5" s="1"/>
      <c r="F5" s="5">
        <v>2</v>
      </c>
      <c r="G5" s="9">
        <f>J4</f>
        <v>708848.71198421391</v>
      </c>
      <c r="H5" s="9">
        <f t="shared" ref="H5:H37" si="3">H4*(1+$D$10)</f>
        <v>40800</v>
      </c>
      <c r="I5" s="9">
        <f t="shared" si="0"/>
        <v>40082.922719052833</v>
      </c>
      <c r="J5" s="9">
        <f t="shared" si="1"/>
        <v>708131.63470326678</v>
      </c>
      <c r="K5" s="24"/>
      <c r="L5" s="9">
        <f t="shared" si="2"/>
        <v>40800</v>
      </c>
      <c r="M5" s="9">
        <f t="shared" ref="M5:M37" si="4">M4*(1+$D$10)</f>
        <v>8160</v>
      </c>
      <c r="N5" s="9">
        <f t="shared" ref="N5:N37" si="5">N4*(1+$D$10)</f>
        <v>7140</v>
      </c>
      <c r="O5" s="9">
        <f t="shared" ref="O5:O37" si="6">SUM(L5:N5)</f>
        <v>56100</v>
      </c>
      <c r="P5" s="9">
        <f>P4</f>
        <v>-11000</v>
      </c>
      <c r="Q5" s="2">
        <f t="shared" ref="Q5:Q37" si="7">SUM(L5:N5)+P5</f>
        <v>45100</v>
      </c>
    </row>
    <row r="6" spans="3:114" x14ac:dyDescent="0.3">
      <c r="C6" s="4" t="s">
        <v>0</v>
      </c>
      <c r="D6" s="85">
        <f>Work!Q40</f>
        <v>708725.19998510741</v>
      </c>
      <c r="E6" s="1"/>
      <c r="F6" s="5">
        <v>3</v>
      </c>
      <c r="G6" s="9">
        <f t="shared" ref="G6:G37" si="8">J5</f>
        <v>708131.63470326678</v>
      </c>
      <c r="H6" s="9">
        <f t="shared" si="3"/>
        <v>41616</v>
      </c>
      <c r="I6" s="9">
        <f t="shared" si="0"/>
        <v>39990.938082196008</v>
      </c>
      <c r="J6" s="9">
        <f t="shared" si="1"/>
        <v>706506.57278546283</v>
      </c>
      <c r="K6" s="24"/>
      <c r="L6" s="9">
        <f t="shared" si="2"/>
        <v>41616</v>
      </c>
      <c r="M6" s="9">
        <f t="shared" si="4"/>
        <v>8323.2000000000007</v>
      </c>
      <c r="N6" s="9">
        <f t="shared" si="5"/>
        <v>7282.8</v>
      </c>
      <c r="O6" s="9">
        <f t="shared" si="6"/>
        <v>57222</v>
      </c>
      <c r="P6" s="9">
        <f t="shared" ref="P6:P37" si="9">P5</f>
        <v>-11000</v>
      </c>
      <c r="Q6" s="2">
        <f t="shared" si="7"/>
        <v>46222</v>
      </c>
    </row>
    <row r="7" spans="3:114" x14ac:dyDescent="0.3">
      <c r="C7" s="4" t="s">
        <v>90</v>
      </c>
      <c r="D7" s="11">
        <f>Work!E9</f>
        <v>0.06</v>
      </c>
      <c r="E7" s="1"/>
      <c r="F7" s="5">
        <v>4</v>
      </c>
      <c r="G7" s="9">
        <f t="shared" si="8"/>
        <v>706506.57278546283</v>
      </c>
      <c r="H7" s="9">
        <f t="shared" si="3"/>
        <v>42448.32</v>
      </c>
      <c r="I7" s="9">
        <f t="shared" si="0"/>
        <v>39843.495167127774</v>
      </c>
      <c r="J7" s="9">
        <f t="shared" si="1"/>
        <v>703901.7479525907</v>
      </c>
      <c r="K7" s="24"/>
      <c r="L7" s="9">
        <f t="shared" si="2"/>
        <v>42448.32</v>
      </c>
      <c r="M7" s="9">
        <f t="shared" si="4"/>
        <v>8489.6640000000007</v>
      </c>
      <c r="N7" s="9">
        <f t="shared" si="5"/>
        <v>7428.4560000000001</v>
      </c>
      <c r="O7" s="9">
        <f t="shared" si="6"/>
        <v>58366.439999999995</v>
      </c>
      <c r="P7" s="9">
        <f t="shared" si="9"/>
        <v>-11000</v>
      </c>
      <c r="Q7" s="2">
        <f t="shared" si="7"/>
        <v>47366.439999999995</v>
      </c>
    </row>
    <row r="8" spans="3:114" x14ac:dyDescent="0.3">
      <c r="C8" s="4" t="s">
        <v>91</v>
      </c>
      <c r="D8" s="11">
        <f>Work!E9</f>
        <v>0.06</v>
      </c>
      <c r="E8" s="1"/>
      <c r="F8" s="5">
        <v>5</v>
      </c>
      <c r="G8" s="9">
        <f t="shared" si="8"/>
        <v>703901.7479525907</v>
      </c>
      <c r="H8" s="9">
        <f t="shared" si="3"/>
        <v>43297.286399999997</v>
      </c>
      <c r="I8" s="9">
        <f t="shared" si="0"/>
        <v>39636.267693155438</v>
      </c>
      <c r="J8" s="9">
        <f t="shared" si="1"/>
        <v>700240.72924574616</v>
      </c>
      <c r="K8" s="24"/>
      <c r="L8" s="9">
        <f t="shared" si="2"/>
        <v>43297.286399999997</v>
      </c>
      <c r="M8" s="9">
        <f t="shared" si="4"/>
        <v>8659.4572800000005</v>
      </c>
      <c r="N8" s="9">
        <f t="shared" si="5"/>
        <v>7577.0251200000002</v>
      </c>
      <c r="O8" s="9">
        <f t="shared" si="6"/>
        <v>59533.768799999998</v>
      </c>
      <c r="P8" s="9">
        <f t="shared" si="9"/>
        <v>-11000</v>
      </c>
      <c r="Q8" s="2">
        <f t="shared" si="7"/>
        <v>48533.768799999998</v>
      </c>
    </row>
    <row r="9" spans="3:114" x14ac:dyDescent="0.3">
      <c r="C9" s="4" t="s">
        <v>4</v>
      </c>
      <c r="D9" s="7">
        <v>40000</v>
      </c>
      <c r="E9" s="1"/>
      <c r="F9" s="5">
        <v>6</v>
      </c>
      <c r="G9" s="9">
        <f t="shared" si="8"/>
        <v>700240.72924574616</v>
      </c>
      <c r="H9" s="9">
        <f t="shared" si="3"/>
        <v>44163.232127999996</v>
      </c>
      <c r="I9" s="9">
        <f t="shared" si="0"/>
        <v>39364.649827064764</v>
      </c>
      <c r="J9" s="9">
        <f t="shared" si="1"/>
        <v>695442.14694481087</v>
      </c>
      <c r="K9" s="24"/>
      <c r="L9" s="9">
        <f t="shared" si="2"/>
        <v>44163.232127999996</v>
      </c>
      <c r="M9" s="9">
        <f t="shared" si="4"/>
        <v>8832.6464255999999</v>
      </c>
      <c r="N9" s="9">
        <f t="shared" si="5"/>
        <v>7728.5656224000004</v>
      </c>
      <c r="O9" s="9">
        <f t="shared" si="6"/>
        <v>60724.44417599999</v>
      </c>
      <c r="P9" s="9">
        <f t="shared" si="9"/>
        <v>-11000</v>
      </c>
      <c r="Q9" s="2">
        <f t="shared" si="7"/>
        <v>49724.44417599999</v>
      </c>
    </row>
    <row r="10" spans="3:114" x14ac:dyDescent="0.3">
      <c r="C10" s="4" t="s">
        <v>9</v>
      </c>
      <c r="D10" s="20">
        <v>0.02</v>
      </c>
      <c r="E10" s="1"/>
      <c r="F10" s="5">
        <v>7</v>
      </c>
      <c r="G10" s="9">
        <f t="shared" si="8"/>
        <v>695442.14694481087</v>
      </c>
      <c r="H10" s="9">
        <f t="shared" si="3"/>
        <v>45046.496770559999</v>
      </c>
      <c r="I10" s="9">
        <f t="shared" si="0"/>
        <v>39023.73901045505</v>
      </c>
      <c r="J10" s="9">
        <f t="shared" si="1"/>
        <v>689419.38918470591</v>
      </c>
      <c r="K10" s="24"/>
      <c r="L10" s="9">
        <f t="shared" si="2"/>
        <v>45046.496770559999</v>
      </c>
      <c r="M10" s="9">
        <f t="shared" si="4"/>
        <v>9009.2993541119995</v>
      </c>
      <c r="N10" s="9">
        <f t="shared" si="5"/>
        <v>7883.1369348480002</v>
      </c>
      <c r="O10" s="9">
        <f t="shared" si="6"/>
        <v>61938.933059520001</v>
      </c>
      <c r="P10" s="9">
        <f t="shared" si="9"/>
        <v>-11000</v>
      </c>
      <c r="Q10" s="2">
        <f t="shared" si="7"/>
        <v>50938.933059520001</v>
      </c>
    </row>
    <row r="11" spans="3:114" x14ac:dyDescent="0.3">
      <c r="C11" s="4" t="s">
        <v>10</v>
      </c>
      <c r="D11" s="20">
        <v>0.2</v>
      </c>
      <c r="E11" s="1"/>
      <c r="F11" s="5">
        <v>8</v>
      </c>
      <c r="G11" s="9">
        <f t="shared" si="8"/>
        <v>689419.38918470591</v>
      </c>
      <c r="H11" s="9">
        <f t="shared" si="3"/>
        <v>45947.4267059712</v>
      </c>
      <c r="I11" s="9">
        <f t="shared" si="0"/>
        <v>38608.317748724075</v>
      </c>
      <c r="J11" s="9">
        <f t="shared" si="1"/>
        <v>682080.2802274588</v>
      </c>
      <c r="K11" s="24"/>
      <c r="L11" s="9">
        <f t="shared" si="2"/>
        <v>45947.4267059712</v>
      </c>
      <c r="M11" s="9">
        <f t="shared" si="4"/>
        <v>9189.4853411942404</v>
      </c>
      <c r="N11" s="9">
        <f t="shared" si="5"/>
        <v>8040.7996735449606</v>
      </c>
      <c r="O11" s="9">
        <f t="shared" si="6"/>
        <v>63177.711720710402</v>
      </c>
      <c r="P11" s="9">
        <f t="shared" si="9"/>
        <v>-11000</v>
      </c>
      <c r="Q11" s="2">
        <f t="shared" si="7"/>
        <v>52177.711720710402</v>
      </c>
    </row>
    <row r="12" spans="3:114" x14ac:dyDescent="0.3">
      <c r="E12" s="1"/>
      <c r="F12" s="5">
        <v>9</v>
      </c>
      <c r="G12" s="9">
        <f t="shared" si="8"/>
        <v>682080.2802274588</v>
      </c>
      <c r="H12" s="9">
        <f t="shared" si="3"/>
        <v>46866.375240090623</v>
      </c>
      <c r="I12" s="9">
        <f t="shared" si="0"/>
        <v>38112.834299242088</v>
      </c>
      <c r="J12" s="9">
        <f t="shared" si="1"/>
        <v>673326.73928661027</v>
      </c>
      <c r="K12" s="24"/>
      <c r="L12" s="9">
        <f t="shared" si="2"/>
        <v>46866.375240090623</v>
      </c>
      <c r="M12" s="9">
        <f t="shared" si="4"/>
        <v>9373.2750480181257</v>
      </c>
      <c r="N12" s="9">
        <f t="shared" si="5"/>
        <v>8201.6156670158598</v>
      </c>
      <c r="O12" s="9">
        <f t="shared" si="6"/>
        <v>64441.265955124611</v>
      </c>
      <c r="P12" s="9">
        <f t="shared" si="9"/>
        <v>-11000</v>
      </c>
      <c r="Q12" s="2">
        <f t="shared" si="7"/>
        <v>53441.265955124611</v>
      </c>
    </row>
    <row r="13" spans="3:114" x14ac:dyDescent="0.3">
      <c r="E13" s="1"/>
      <c r="F13" s="5">
        <v>10</v>
      </c>
      <c r="G13" s="9">
        <f t="shared" si="8"/>
        <v>673326.73928661027</v>
      </c>
      <c r="H13" s="9">
        <f t="shared" si="3"/>
        <v>47803.702744892435</v>
      </c>
      <c r="I13" s="9">
        <f t="shared" si="0"/>
        <v>37531.382192503072</v>
      </c>
      <c r="J13" s="9">
        <f t="shared" si="1"/>
        <v>663054.4187342209</v>
      </c>
      <c r="K13" s="24"/>
      <c r="L13" s="9">
        <f t="shared" si="2"/>
        <v>47803.702744892435</v>
      </c>
      <c r="M13" s="9">
        <f t="shared" si="4"/>
        <v>9560.7405489784887</v>
      </c>
      <c r="N13" s="9">
        <f t="shared" si="5"/>
        <v>8365.6479803561779</v>
      </c>
      <c r="O13" s="9">
        <f t="shared" si="6"/>
        <v>65730.091274227103</v>
      </c>
      <c r="P13" s="9">
        <f t="shared" si="9"/>
        <v>-11000</v>
      </c>
      <c r="Q13" s="2">
        <f t="shared" si="7"/>
        <v>54730.091274227103</v>
      </c>
    </row>
    <row r="14" spans="3:114" x14ac:dyDescent="0.3">
      <c r="E14" s="1"/>
      <c r="F14" s="5">
        <v>11</v>
      </c>
      <c r="G14" s="9">
        <f t="shared" si="8"/>
        <v>663054.4187342209</v>
      </c>
      <c r="H14" s="9">
        <f t="shared" si="3"/>
        <v>48759.776799790285</v>
      </c>
      <c r="I14" s="9">
        <f t="shared" si="0"/>
        <v>36857.678516065833</v>
      </c>
      <c r="J14" s="9">
        <f t="shared" si="1"/>
        <v>651152.32045049639</v>
      </c>
      <c r="K14" s="24"/>
      <c r="L14" s="9">
        <f t="shared" si="2"/>
        <v>48759.776799790285</v>
      </c>
      <c r="M14" s="9">
        <f t="shared" si="4"/>
        <v>9751.9553599580595</v>
      </c>
      <c r="N14" s="9">
        <f t="shared" si="5"/>
        <v>8532.9609399633009</v>
      </c>
      <c r="O14" s="9">
        <f t="shared" si="6"/>
        <v>67044.693099711643</v>
      </c>
      <c r="P14" s="9">
        <f t="shared" si="9"/>
        <v>-11000</v>
      </c>
      <c r="Q14" s="2">
        <f t="shared" si="7"/>
        <v>56044.693099711643</v>
      </c>
    </row>
    <row r="15" spans="3:114" x14ac:dyDescent="0.3">
      <c r="E15" s="1"/>
      <c r="F15" s="5">
        <v>12</v>
      </c>
      <c r="G15" s="9">
        <f t="shared" si="8"/>
        <v>651152.32045049639</v>
      </c>
      <c r="H15" s="9">
        <f t="shared" si="3"/>
        <v>49734.972335786093</v>
      </c>
      <c r="I15" s="9">
        <f t="shared" si="0"/>
        <v>36085.04088688262</v>
      </c>
      <c r="J15" s="9">
        <f t="shared" si="1"/>
        <v>637502.38900159288</v>
      </c>
      <c r="K15" s="24"/>
      <c r="L15" s="9">
        <f t="shared" si="2"/>
        <v>49734.972335786093</v>
      </c>
      <c r="M15" s="9">
        <f t="shared" si="4"/>
        <v>9946.9944671572212</v>
      </c>
      <c r="N15" s="9">
        <f t="shared" si="5"/>
        <v>8703.6201587625674</v>
      </c>
      <c r="O15" s="9">
        <f t="shared" si="6"/>
        <v>68385.586961705878</v>
      </c>
      <c r="P15" s="9">
        <f t="shared" si="9"/>
        <v>-11000</v>
      </c>
      <c r="Q15" s="2">
        <f t="shared" si="7"/>
        <v>57385.586961705878</v>
      </c>
    </row>
    <row r="16" spans="3:114" x14ac:dyDescent="0.3">
      <c r="E16" s="1"/>
      <c r="F16" s="5">
        <v>13</v>
      </c>
      <c r="G16" s="9">
        <f t="shared" si="8"/>
        <v>637502.38900159288</v>
      </c>
      <c r="H16" s="9">
        <f t="shared" si="3"/>
        <v>50729.671782501813</v>
      </c>
      <c r="I16" s="9">
        <f t="shared" si="0"/>
        <v>35206.363033145462</v>
      </c>
      <c r="J16" s="9">
        <f t="shared" si="1"/>
        <v>621979.08025223645</v>
      </c>
      <c r="K16" s="24"/>
      <c r="L16" s="9">
        <f t="shared" si="2"/>
        <v>50729.671782501813</v>
      </c>
      <c r="M16" s="9">
        <f t="shared" si="4"/>
        <v>10145.934356500366</v>
      </c>
      <c r="N16" s="9">
        <f t="shared" si="5"/>
        <v>8877.692561937818</v>
      </c>
      <c r="O16" s="9">
        <f t="shared" si="6"/>
        <v>69753.298700939995</v>
      </c>
      <c r="P16" s="9">
        <f t="shared" si="9"/>
        <v>-11000</v>
      </c>
      <c r="Q16" s="2">
        <f t="shared" si="7"/>
        <v>58753.298700939995</v>
      </c>
    </row>
    <row r="17" spans="5:17" x14ac:dyDescent="0.3">
      <c r="E17" s="1"/>
      <c r="F17" s="5">
        <v>14</v>
      </c>
      <c r="G17" s="9">
        <f t="shared" si="8"/>
        <v>621979.08025223645</v>
      </c>
      <c r="H17" s="9">
        <f t="shared" si="3"/>
        <v>51744.26521815185</v>
      </c>
      <c r="I17" s="9">
        <f t="shared" si="0"/>
        <v>34214.088902045078</v>
      </c>
      <c r="J17" s="9">
        <f t="shared" si="1"/>
        <v>604448.90393612965</v>
      </c>
      <c r="K17" s="24"/>
      <c r="L17" s="9">
        <f t="shared" si="2"/>
        <v>51744.26521815185</v>
      </c>
      <c r="M17" s="9">
        <f t="shared" si="4"/>
        <v>10348.853043630374</v>
      </c>
      <c r="N17" s="9">
        <f t="shared" si="5"/>
        <v>9055.2464131765737</v>
      </c>
      <c r="O17" s="9">
        <f t="shared" si="6"/>
        <v>71148.364674958793</v>
      </c>
      <c r="P17" s="9">
        <f t="shared" si="9"/>
        <v>-11000</v>
      </c>
      <c r="Q17" s="2">
        <f t="shared" si="7"/>
        <v>60148.364674958793</v>
      </c>
    </row>
    <row r="18" spans="5:17" x14ac:dyDescent="0.3">
      <c r="E18" s="1"/>
      <c r="F18" s="5">
        <v>15</v>
      </c>
      <c r="G18" s="9">
        <f t="shared" si="8"/>
        <v>604448.90393612965</v>
      </c>
      <c r="H18" s="9">
        <f t="shared" si="3"/>
        <v>52779.150522514887</v>
      </c>
      <c r="I18" s="9">
        <f t="shared" si="0"/>
        <v>33100.185204816888</v>
      </c>
      <c r="J18" s="9">
        <f t="shared" si="1"/>
        <v>584769.93861843168</v>
      </c>
      <c r="K18" s="24"/>
      <c r="L18" s="9">
        <f t="shared" si="2"/>
        <v>52779.150522514887</v>
      </c>
      <c r="M18" s="9">
        <f t="shared" si="4"/>
        <v>10555.830104502982</v>
      </c>
      <c r="N18" s="9">
        <f t="shared" si="5"/>
        <v>9236.3513414401059</v>
      </c>
      <c r="O18" s="9">
        <f t="shared" si="6"/>
        <v>72571.331968457976</v>
      </c>
      <c r="P18" s="9">
        <f t="shared" si="9"/>
        <v>-11000</v>
      </c>
      <c r="Q18" s="2">
        <f t="shared" si="7"/>
        <v>61571.331968457976</v>
      </c>
    </row>
    <row r="19" spans="5:17" x14ac:dyDescent="0.3">
      <c r="E19" s="1"/>
      <c r="F19" s="5">
        <v>16</v>
      </c>
      <c r="G19" s="9">
        <f t="shared" si="8"/>
        <v>584769.93861843168</v>
      </c>
      <c r="H19" s="9">
        <f t="shared" si="3"/>
        <v>53834.733532965183</v>
      </c>
      <c r="I19" s="9">
        <f t="shared" si="0"/>
        <v>31856.11230512799</v>
      </c>
      <c r="J19" s="9">
        <f t="shared" si="1"/>
        <v>562791.31739059452</v>
      </c>
      <c r="K19" s="24"/>
      <c r="L19" s="9">
        <f t="shared" si="2"/>
        <v>53834.733532965183</v>
      </c>
      <c r="M19" s="9">
        <f t="shared" si="4"/>
        <v>10766.946706593042</v>
      </c>
      <c r="N19" s="9">
        <f t="shared" si="5"/>
        <v>9421.0783682689089</v>
      </c>
      <c r="O19" s="9">
        <f t="shared" si="6"/>
        <v>74022.758607827142</v>
      </c>
      <c r="P19" s="9">
        <f t="shared" si="9"/>
        <v>-11000</v>
      </c>
      <c r="Q19" s="2">
        <f t="shared" si="7"/>
        <v>63022.758607827142</v>
      </c>
    </row>
    <row r="20" spans="5:17" x14ac:dyDescent="0.3">
      <c r="E20" s="1"/>
      <c r="F20" s="5">
        <v>17</v>
      </c>
      <c r="G20" s="9">
        <f t="shared" si="8"/>
        <v>562791.31739059452</v>
      </c>
      <c r="H20" s="9">
        <f t="shared" si="3"/>
        <v>54911.428203624491</v>
      </c>
      <c r="I20" s="9">
        <f t="shared" si="0"/>
        <v>30472.793351218199</v>
      </c>
      <c r="J20" s="9">
        <f t="shared" si="1"/>
        <v>538352.68253818818</v>
      </c>
      <c r="K20" s="24"/>
      <c r="L20" s="9">
        <f t="shared" si="2"/>
        <v>54911.428203624491</v>
      </c>
      <c r="M20" s="9">
        <f t="shared" si="4"/>
        <v>10982.285640724904</v>
      </c>
      <c r="N20" s="9">
        <f t="shared" si="5"/>
        <v>9609.4999356342869</v>
      </c>
      <c r="O20" s="9">
        <f t="shared" si="6"/>
        <v>75503.213779983678</v>
      </c>
      <c r="P20" s="9">
        <f t="shared" si="9"/>
        <v>-11000</v>
      </c>
      <c r="Q20" s="2">
        <f t="shared" si="7"/>
        <v>64503.213779983678</v>
      </c>
    </row>
    <row r="21" spans="5:17" x14ac:dyDescent="0.3">
      <c r="E21" s="1"/>
      <c r="F21" s="5">
        <v>18</v>
      </c>
      <c r="G21" s="9">
        <f t="shared" si="8"/>
        <v>538352.68253818818</v>
      </c>
      <c r="H21" s="9">
        <f t="shared" si="3"/>
        <v>56009.656767696979</v>
      </c>
      <c r="I21" s="9">
        <f>(G21-H21)*$D$8</f>
        <v>28940.581546229474</v>
      </c>
      <c r="J21" s="9">
        <f t="shared" si="1"/>
        <v>511283.60731672071</v>
      </c>
      <c r="K21" s="24"/>
      <c r="L21" s="9">
        <f t="shared" si="2"/>
        <v>56009.656767696979</v>
      </c>
      <c r="M21" s="9">
        <f t="shared" si="4"/>
        <v>11201.931353539401</v>
      </c>
      <c r="N21" s="9">
        <f t="shared" si="5"/>
        <v>9801.6899343469722</v>
      </c>
      <c r="O21" s="9">
        <f t="shared" si="6"/>
        <v>77013.278055583345</v>
      </c>
      <c r="P21" s="9">
        <f t="shared" si="9"/>
        <v>-11000</v>
      </c>
      <c r="Q21" s="2">
        <f t="shared" si="7"/>
        <v>66013.278055583345</v>
      </c>
    </row>
    <row r="22" spans="5:17" x14ac:dyDescent="0.3">
      <c r="E22" s="1"/>
      <c r="F22" s="5">
        <v>19</v>
      </c>
      <c r="G22" s="9">
        <f t="shared" si="8"/>
        <v>511283.60731672071</v>
      </c>
      <c r="H22" s="9">
        <f t="shared" si="3"/>
        <v>57129.849903050919</v>
      </c>
      <c r="I22" s="9">
        <f t="shared" ref="I22:I37" si="10">(G22-H22)*$D$8</f>
        <v>27249.225444820186</v>
      </c>
      <c r="J22" s="9">
        <f t="shared" si="1"/>
        <v>481402.98285848997</v>
      </c>
      <c r="K22" s="24"/>
      <c r="L22" s="9">
        <f t="shared" si="2"/>
        <v>57129.849903050919</v>
      </c>
      <c r="M22" s="9">
        <f t="shared" si="4"/>
        <v>11425.969980610189</v>
      </c>
      <c r="N22" s="9">
        <f t="shared" si="5"/>
        <v>9997.7237330339121</v>
      </c>
      <c r="O22" s="9">
        <f t="shared" si="6"/>
        <v>78553.543616695024</v>
      </c>
      <c r="P22" s="9">
        <f t="shared" si="9"/>
        <v>-11000</v>
      </c>
      <c r="Q22" s="2">
        <f t="shared" si="7"/>
        <v>67553.543616695024</v>
      </c>
    </row>
    <row r="23" spans="5:17" x14ac:dyDescent="0.3">
      <c r="E23" s="3"/>
      <c r="F23" s="5">
        <v>20</v>
      </c>
      <c r="G23" s="9">
        <f t="shared" si="8"/>
        <v>481402.98285848997</v>
      </c>
      <c r="H23" s="9">
        <f t="shared" si="3"/>
        <v>58272.446901111936</v>
      </c>
      <c r="I23" s="9">
        <f t="shared" si="10"/>
        <v>25387.832157442681</v>
      </c>
      <c r="J23" s="9">
        <f t="shared" si="1"/>
        <v>448518.36811482074</v>
      </c>
      <c r="K23" s="25"/>
      <c r="L23" s="9">
        <f t="shared" si="2"/>
        <v>58272.446901111936</v>
      </c>
      <c r="M23" s="9">
        <f t="shared" si="4"/>
        <v>11654.489380222392</v>
      </c>
      <c r="N23" s="9">
        <f t="shared" si="5"/>
        <v>10197.678207694591</v>
      </c>
      <c r="O23" s="9">
        <f t="shared" si="6"/>
        <v>80124.614489028929</v>
      </c>
      <c r="P23" s="9">
        <f t="shared" si="9"/>
        <v>-11000</v>
      </c>
      <c r="Q23" s="2">
        <f t="shared" si="7"/>
        <v>69124.614489028929</v>
      </c>
    </row>
    <row r="24" spans="5:17" x14ac:dyDescent="0.3">
      <c r="E24" s="3"/>
      <c r="F24" s="5">
        <v>21</v>
      </c>
      <c r="G24" s="9">
        <f t="shared" si="8"/>
        <v>448518.36811482074</v>
      </c>
      <c r="H24" s="9">
        <f t="shared" si="3"/>
        <v>59437.895839134173</v>
      </c>
      <c r="I24" s="9">
        <f t="shared" si="10"/>
        <v>23344.828336541192</v>
      </c>
      <c r="J24" s="9">
        <f t="shared" si="1"/>
        <v>412425.30061222776</v>
      </c>
      <c r="K24" s="25"/>
      <c r="L24" s="9">
        <f t="shared" si="2"/>
        <v>59437.895839134173</v>
      </c>
      <c r="M24" s="9">
        <f t="shared" si="4"/>
        <v>11887.57916782684</v>
      </c>
      <c r="N24" s="9">
        <f t="shared" si="5"/>
        <v>10401.631771848482</v>
      </c>
      <c r="O24" s="9">
        <f t="shared" si="6"/>
        <v>81727.106778809495</v>
      </c>
      <c r="P24" s="9">
        <f t="shared" si="9"/>
        <v>-11000</v>
      </c>
      <c r="Q24" s="2">
        <f t="shared" si="7"/>
        <v>70727.106778809495</v>
      </c>
    </row>
    <row r="25" spans="5:17" x14ac:dyDescent="0.3">
      <c r="E25" s="3"/>
      <c r="F25" s="5">
        <v>22</v>
      </c>
      <c r="G25" s="9">
        <f t="shared" si="8"/>
        <v>412425.30061222776</v>
      </c>
      <c r="H25" s="9">
        <f t="shared" si="3"/>
        <v>60626.653755916857</v>
      </c>
      <c r="I25" s="9">
        <f t="shared" si="10"/>
        <v>21107.918811378651</v>
      </c>
      <c r="J25" s="9">
        <f t="shared" si="1"/>
        <v>372906.56566768955</v>
      </c>
      <c r="K25" s="25"/>
      <c r="L25" s="9">
        <f t="shared" si="2"/>
        <v>60626.653755916857</v>
      </c>
      <c r="M25" s="9">
        <f t="shared" si="4"/>
        <v>12125.330751183377</v>
      </c>
      <c r="N25" s="9">
        <f t="shared" si="5"/>
        <v>10609.664407285452</v>
      </c>
      <c r="O25" s="9">
        <f t="shared" si="6"/>
        <v>83361.648914385689</v>
      </c>
      <c r="P25" s="9">
        <f t="shared" si="9"/>
        <v>-11000</v>
      </c>
      <c r="Q25" s="2">
        <f t="shared" si="7"/>
        <v>72361.648914385689</v>
      </c>
    </row>
    <row r="26" spans="5:17" x14ac:dyDescent="0.3">
      <c r="E26" s="3"/>
      <c r="F26" s="5">
        <v>23</v>
      </c>
      <c r="G26" s="9">
        <f t="shared" si="8"/>
        <v>372906.56566768955</v>
      </c>
      <c r="H26" s="9">
        <f t="shared" si="3"/>
        <v>61839.186831035193</v>
      </c>
      <c r="I26" s="9">
        <f t="shared" si="10"/>
        <v>18664.04273019926</v>
      </c>
      <c r="J26" s="9">
        <f t="shared" si="1"/>
        <v>329731.42156685365</v>
      </c>
      <c r="K26" s="25"/>
      <c r="L26" s="9">
        <f t="shared" si="2"/>
        <v>61839.186831035193</v>
      </c>
      <c r="M26" s="9">
        <f t="shared" si="4"/>
        <v>12367.837366207044</v>
      </c>
      <c r="N26" s="9">
        <f t="shared" si="5"/>
        <v>10821.857695431161</v>
      </c>
      <c r="O26" s="9">
        <f t="shared" si="6"/>
        <v>85028.881892673395</v>
      </c>
      <c r="P26" s="9">
        <f t="shared" si="9"/>
        <v>-11000</v>
      </c>
      <c r="Q26" s="2">
        <f t="shared" si="7"/>
        <v>74028.881892673395</v>
      </c>
    </row>
    <row r="27" spans="5:17" x14ac:dyDescent="0.3">
      <c r="E27" s="3"/>
      <c r="F27" s="5">
        <v>24</v>
      </c>
      <c r="G27" s="9">
        <f t="shared" si="8"/>
        <v>329731.42156685365</v>
      </c>
      <c r="H27" s="9">
        <f t="shared" si="3"/>
        <v>63075.970567655895</v>
      </c>
      <c r="I27" s="9">
        <f t="shared" si="10"/>
        <v>15999.327059951866</v>
      </c>
      <c r="J27" s="9">
        <f t="shared" si="1"/>
        <v>282654.77805914963</v>
      </c>
      <c r="K27" s="25"/>
      <c r="L27" s="9">
        <f t="shared" si="2"/>
        <v>63075.970567655895</v>
      </c>
      <c r="M27" s="9">
        <f t="shared" si="4"/>
        <v>12615.194113531186</v>
      </c>
      <c r="N27" s="9">
        <f t="shared" si="5"/>
        <v>11038.294849339785</v>
      </c>
      <c r="O27" s="9">
        <f t="shared" si="6"/>
        <v>86729.459530526859</v>
      </c>
      <c r="P27" s="9">
        <f t="shared" si="9"/>
        <v>-11000</v>
      </c>
      <c r="Q27" s="2">
        <f t="shared" si="7"/>
        <v>75729.459530526859</v>
      </c>
    </row>
    <row r="28" spans="5:17" x14ac:dyDescent="0.3">
      <c r="E28" s="3"/>
      <c r="F28" s="5">
        <v>25</v>
      </c>
      <c r="G28" s="9">
        <f t="shared" si="8"/>
        <v>282654.77805914963</v>
      </c>
      <c r="H28" s="9">
        <f t="shared" si="3"/>
        <v>64337.489979009013</v>
      </c>
      <c r="I28" s="9">
        <f t="shared" si="10"/>
        <v>13099.037284808435</v>
      </c>
      <c r="J28" s="9">
        <f t="shared" si="1"/>
        <v>231416.32536494904</v>
      </c>
      <c r="K28" s="25"/>
      <c r="L28" s="9">
        <f t="shared" si="2"/>
        <v>64337.489979009013</v>
      </c>
      <c r="M28" s="9">
        <f t="shared" si="4"/>
        <v>12867.49799580181</v>
      </c>
      <c r="N28" s="9">
        <f t="shared" si="5"/>
        <v>11259.060746326581</v>
      </c>
      <c r="O28" s="9">
        <f t="shared" si="6"/>
        <v>88464.048721137398</v>
      </c>
      <c r="P28" s="9">
        <f t="shared" si="9"/>
        <v>-11000</v>
      </c>
      <c r="Q28" s="2">
        <f t="shared" si="7"/>
        <v>77464.048721137398</v>
      </c>
    </row>
    <row r="29" spans="5:17" x14ac:dyDescent="0.3">
      <c r="E29" s="3"/>
      <c r="F29" s="5">
        <v>26</v>
      </c>
      <c r="G29" s="9">
        <f t="shared" si="8"/>
        <v>231416.32536494904</v>
      </c>
      <c r="H29" s="9">
        <f t="shared" si="3"/>
        <v>65624.239778589195</v>
      </c>
      <c r="I29" s="9">
        <f t="shared" si="10"/>
        <v>9947.5251351815896</v>
      </c>
      <c r="J29" s="9">
        <f t="shared" si="1"/>
        <v>175739.61072154142</v>
      </c>
      <c r="K29" s="25"/>
      <c r="L29" s="9">
        <f t="shared" si="2"/>
        <v>65624.239778589195</v>
      </c>
      <c r="M29" s="9">
        <f t="shared" si="4"/>
        <v>13124.847955717847</v>
      </c>
      <c r="N29" s="9">
        <f t="shared" si="5"/>
        <v>11484.241961253112</v>
      </c>
      <c r="O29" s="9">
        <f t="shared" si="6"/>
        <v>90233.329695560155</v>
      </c>
      <c r="P29" s="9">
        <f t="shared" si="9"/>
        <v>-11000</v>
      </c>
      <c r="Q29" s="2">
        <f t="shared" si="7"/>
        <v>79233.329695560155</v>
      </c>
    </row>
    <row r="30" spans="5:17" x14ac:dyDescent="0.3">
      <c r="E30" s="3"/>
      <c r="F30" s="5">
        <v>27</v>
      </c>
      <c r="G30" s="9">
        <f t="shared" si="8"/>
        <v>175739.61072154142</v>
      </c>
      <c r="H30" s="9">
        <f t="shared" si="3"/>
        <v>66936.72457416098</v>
      </c>
      <c r="I30" s="9">
        <f t="shared" si="10"/>
        <v>6528.1731688428263</v>
      </c>
      <c r="J30" s="9">
        <f t="shared" si="1"/>
        <v>115331.05931622327</v>
      </c>
      <c r="K30" s="25"/>
      <c r="L30" s="9">
        <f t="shared" si="2"/>
        <v>66936.72457416098</v>
      </c>
      <c r="M30" s="9">
        <f t="shared" si="4"/>
        <v>13387.344914832203</v>
      </c>
      <c r="N30" s="9">
        <f t="shared" si="5"/>
        <v>11713.926800478175</v>
      </c>
      <c r="O30" s="9">
        <f t="shared" si="6"/>
        <v>92037.996289471354</v>
      </c>
      <c r="P30" s="9">
        <f t="shared" si="9"/>
        <v>-11000</v>
      </c>
      <c r="Q30" s="2">
        <f t="shared" si="7"/>
        <v>81037.996289471354</v>
      </c>
    </row>
    <row r="31" spans="5:17" x14ac:dyDescent="0.3">
      <c r="E31" s="3"/>
      <c r="F31" s="5">
        <v>28</v>
      </c>
      <c r="G31" s="9">
        <f t="shared" si="8"/>
        <v>115331.05931622327</v>
      </c>
      <c r="H31" s="9">
        <f t="shared" si="3"/>
        <v>68275.459065644201</v>
      </c>
      <c r="I31" s="9">
        <f t="shared" si="10"/>
        <v>2823.3360150347439</v>
      </c>
      <c r="J31" s="9">
        <f t="shared" si="1"/>
        <v>49878.936265613811</v>
      </c>
      <c r="K31" s="25"/>
      <c r="L31" s="9">
        <f t="shared" si="2"/>
        <v>68275.459065644201</v>
      </c>
      <c r="M31" s="9">
        <f t="shared" si="4"/>
        <v>13655.091813128847</v>
      </c>
      <c r="N31" s="9">
        <f t="shared" si="5"/>
        <v>11948.205336487739</v>
      </c>
      <c r="O31" s="9">
        <f t="shared" si="6"/>
        <v>93878.756215260786</v>
      </c>
      <c r="P31" s="9">
        <f t="shared" si="9"/>
        <v>-11000</v>
      </c>
      <c r="Q31" s="2">
        <f t="shared" si="7"/>
        <v>82878.756215260786</v>
      </c>
    </row>
    <row r="32" spans="5:17" x14ac:dyDescent="0.3">
      <c r="E32" s="3"/>
      <c r="F32" s="5">
        <v>29</v>
      </c>
      <c r="G32" s="9">
        <f t="shared" si="8"/>
        <v>49878.936265613811</v>
      </c>
      <c r="H32" s="9">
        <f t="shared" si="3"/>
        <v>69640.968246957083</v>
      </c>
      <c r="I32" s="9">
        <f t="shared" si="10"/>
        <v>-1185.7219188805964</v>
      </c>
      <c r="J32" s="9">
        <f t="shared" si="1"/>
        <v>-20947.75390022387</v>
      </c>
      <c r="K32" s="25"/>
      <c r="L32" s="9">
        <f t="shared" si="2"/>
        <v>69640.968246957083</v>
      </c>
      <c r="M32" s="9">
        <f t="shared" si="4"/>
        <v>13928.193649391424</v>
      </c>
      <c r="N32" s="9">
        <f t="shared" si="5"/>
        <v>12187.169443217494</v>
      </c>
      <c r="O32" s="9">
        <f t="shared" si="6"/>
        <v>95756.331339566008</v>
      </c>
      <c r="P32" s="9">
        <f t="shared" si="9"/>
        <v>-11000</v>
      </c>
      <c r="Q32" s="2">
        <f t="shared" si="7"/>
        <v>84756.331339566008</v>
      </c>
    </row>
    <row r="33" spans="5:17" x14ac:dyDescent="0.3">
      <c r="E33" s="3"/>
      <c r="F33" s="5">
        <v>30</v>
      </c>
      <c r="G33" s="9">
        <f t="shared" si="8"/>
        <v>-20947.75390022387</v>
      </c>
      <c r="H33" s="9">
        <f t="shared" si="3"/>
        <v>71033.78761189623</v>
      </c>
      <c r="I33" s="9">
        <f t="shared" si="10"/>
        <v>-5518.8924907272067</v>
      </c>
      <c r="J33" s="9">
        <f t="shared" si="1"/>
        <v>-97500.434002847309</v>
      </c>
      <c r="K33" s="25"/>
      <c r="L33" s="9">
        <f t="shared" si="2"/>
        <v>71033.78761189623</v>
      </c>
      <c r="M33" s="9">
        <f t="shared" si="4"/>
        <v>14206.757522379252</v>
      </c>
      <c r="N33" s="9">
        <f t="shared" si="5"/>
        <v>12430.912832081844</v>
      </c>
      <c r="O33" s="9">
        <f t="shared" si="6"/>
        <v>97671.457966357324</v>
      </c>
      <c r="P33" s="9">
        <f t="shared" si="9"/>
        <v>-11000</v>
      </c>
      <c r="Q33" s="2">
        <f t="shared" si="7"/>
        <v>86671.457966357324</v>
      </c>
    </row>
    <row r="34" spans="5:17" x14ac:dyDescent="0.3">
      <c r="E34" s="3"/>
      <c r="F34" s="5">
        <v>31</v>
      </c>
      <c r="G34" s="9">
        <f t="shared" si="8"/>
        <v>-97500.434002847309</v>
      </c>
      <c r="H34" s="9">
        <f t="shared" si="3"/>
        <v>72454.46336413415</v>
      </c>
      <c r="I34" s="9">
        <f t="shared" si="10"/>
        <v>-10197.293842018888</v>
      </c>
      <c r="J34" s="9">
        <f t="shared" si="1"/>
        <v>-180152.19120900036</v>
      </c>
      <c r="K34" s="26"/>
      <c r="L34" s="9">
        <f t="shared" si="2"/>
        <v>72454.46336413415</v>
      </c>
      <c r="M34" s="9">
        <f t="shared" si="4"/>
        <v>14490.892672826838</v>
      </c>
      <c r="N34" s="9">
        <f t="shared" si="5"/>
        <v>12679.531088723481</v>
      </c>
      <c r="O34" s="9">
        <f t="shared" si="6"/>
        <v>99624.887125684472</v>
      </c>
      <c r="P34" s="9">
        <f t="shared" si="9"/>
        <v>-11000</v>
      </c>
      <c r="Q34" s="2">
        <f t="shared" si="7"/>
        <v>88624.887125684472</v>
      </c>
    </row>
    <row r="35" spans="5:17" x14ac:dyDescent="0.3">
      <c r="E35" s="3"/>
      <c r="F35" s="5">
        <v>32</v>
      </c>
      <c r="G35" s="9">
        <f t="shared" si="8"/>
        <v>-180152.19120900036</v>
      </c>
      <c r="H35" s="9">
        <f t="shared" si="3"/>
        <v>73903.552631416838</v>
      </c>
      <c r="I35" s="9">
        <f t="shared" si="10"/>
        <v>-15243.34463042503</v>
      </c>
      <c r="J35" s="9">
        <f t="shared" si="1"/>
        <v>-269299.08847084222</v>
      </c>
      <c r="K35" s="26"/>
      <c r="L35" s="9">
        <f t="shared" si="2"/>
        <v>73903.552631416838</v>
      </c>
      <c r="M35" s="9">
        <f t="shared" si="4"/>
        <v>14780.710526283376</v>
      </c>
      <c r="N35" s="9">
        <f t="shared" si="5"/>
        <v>12933.121710497951</v>
      </c>
      <c r="O35" s="9">
        <f t="shared" si="6"/>
        <v>101617.38486819816</v>
      </c>
      <c r="P35" s="9">
        <f t="shared" si="9"/>
        <v>-11000</v>
      </c>
      <c r="Q35" s="2">
        <f t="shared" si="7"/>
        <v>90617.384868198162</v>
      </c>
    </row>
    <row r="36" spans="5:17" x14ac:dyDescent="0.3">
      <c r="E36" s="3"/>
      <c r="F36" s="5">
        <v>33</v>
      </c>
      <c r="G36" s="9">
        <f t="shared" si="8"/>
        <v>-269299.08847084222</v>
      </c>
      <c r="H36" s="9">
        <f t="shared" si="3"/>
        <v>75381.623684045175</v>
      </c>
      <c r="I36" s="9">
        <f t="shared" si="10"/>
        <v>-20680.842729293243</v>
      </c>
      <c r="J36" s="9">
        <f t="shared" si="1"/>
        <v>-365361.5548841806</v>
      </c>
      <c r="K36" s="26"/>
      <c r="L36" s="9">
        <f t="shared" si="2"/>
        <v>75381.623684045175</v>
      </c>
      <c r="M36" s="9">
        <f t="shared" si="4"/>
        <v>15076.324736809043</v>
      </c>
      <c r="N36" s="9">
        <f t="shared" si="5"/>
        <v>13191.78414470791</v>
      </c>
      <c r="O36" s="9">
        <f t="shared" si="6"/>
        <v>103649.73256556212</v>
      </c>
      <c r="P36" s="9">
        <f t="shared" si="9"/>
        <v>-11000</v>
      </c>
      <c r="Q36" s="2">
        <f t="shared" si="7"/>
        <v>92649.732565562124</v>
      </c>
    </row>
    <row r="37" spans="5:17" x14ac:dyDescent="0.3">
      <c r="E37" s="3"/>
      <c r="F37" s="5">
        <v>34</v>
      </c>
      <c r="G37" s="9">
        <f t="shared" si="8"/>
        <v>-365361.5548841806</v>
      </c>
      <c r="H37" s="9">
        <f t="shared" si="3"/>
        <v>76889.256157726079</v>
      </c>
      <c r="I37" s="9">
        <f t="shared" si="10"/>
        <v>-26535.0486625144</v>
      </c>
      <c r="J37" s="10">
        <f t="shared" si="1"/>
        <v>-468785.85970442113</v>
      </c>
      <c r="K37" s="26"/>
      <c r="L37" s="9">
        <f t="shared" si="2"/>
        <v>76889.256157726079</v>
      </c>
      <c r="M37" s="9">
        <f t="shared" si="4"/>
        <v>15377.851231545224</v>
      </c>
      <c r="N37" s="9">
        <f t="shared" si="5"/>
        <v>13455.619827602068</v>
      </c>
      <c r="O37" s="9">
        <f t="shared" si="6"/>
        <v>105722.72721687338</v>
      </c>
      <c r="P37" s="9">
        <f t="shared" si="9"/>
        <v>-11000</v>
      </c>
      <c r="Q37" s="2">
        <f t="shared" si="7"/>
        <v>94722.727216873376</v>
      </c>
    </row>
    <row r="38" spans="5:17" x14ac:dyDescent="0.3">
      <c r="E38" s="3"/>
      <c r="F38" s="5"/>
      <c r="G38" s="9"/>
      <c r="H38" s="9"/>
      <c r="I38" s="9"/>
      <c r="J38" s="10"/>
      <c r="K38" s="26"/>
      <c r="L38" s="9"/>
      <c r="M38" s="9"/>
      <c r="N38" s="9"/>
      <c r="O38" s="9"/>
      <c r="P38" s="9"/>
      <c r="Q38" s="2"/>
    </row>
    <row r="39" spans="5:17" x14ac:dyDescent="0.3">
      <c r="E39" s="1"/>
      <c r="F39" s="1"/>
      <c r="K39" s="26"/>
      <c r="M39" s="1"/>
      <c r="N39" s="1"/>
      <c r="O39" s="1"/>
      <c r="P39" s="1"/>
      <c r="Q39" s="1"/>
    </row>
    <row r="40" spans="5:17" x14ac:dyDescent="0.3">
      <c r="E40" s="1"/>
      <c r="F40" s="1"/>
      <c r="K40" s="26"/>
      <c r="M40" s="1"/>
      <c r="N40" s="1"/>
      <c r="O40" s="1"/>
      <c r="P40" s="1"/>
      <c r="Q40" s="1"/>
    </row>
    <row r="41" spans="5:17" x14ac:dyDescent="0.3">
      <c r="E41" s="1"/>
      <c r="F41" s="1"/>
      <c r="K41" s="26"/>
      <c r="M41" s="1"/>
      <c r="N41" s="1"/>
      <c r="O41" s="1"/>
      <c r="P41" s="1"/>
      <c r="Q41" s="1"/>
    </row>
    <row r="42" spans="5:17" x14ac:dyDescent="0.3">
      <c r="E42" s="1"/>
      <c r="F42" s="1"/>
      <c r="K42" s="26"/>
      <c r="M42" s="1"/>
      <c r="N42" s="1"/>
      <c r="O42" s="1"/>
      <c r="P42" s="1"/>
      <c r="Q42" s="1"/>
    </row>
    <row r="43" spans="5:17" x14ac:dyDescent="0.3">
      <c r="E43" s="1"/>
      <c r="F43" s="1"/>
      <c r="K43" s="26"/>
      <c r="M43" s="1"/>
      <c r="N43" s="1"/>
      <c r="O43" s="1"/>
      <c r="P43" s="1"/>
      <c r="Q43" s="1"/>
    </row>
    <row r="44" spans="5:17" x14ac:dyDescent="0.3">
      <c r="E44" s="1"/>
      <c r="F44" s="1"/>
      <c r="K44" s="26"/>
      <c r="M44" s="1"/>
      <c r="N44" s="1"/>
      <c r="O44" s="1"/>
      <c r="P44" s="1"/>
      <c r="Q44" s="1"/>
    </row>
    <row r="45" spans="5:17" x14ac:dyDescent="0.3">
      <c r="E45" s="1"/>
      <c r="F45" s="1"/>
      <c r="K45" s="26"/>
      <c r="M45" s="1"/>
      <c r="N45" s="1"/>
      <c r="O45" s="1"/>
      <c r="P45" s="1"/>
      <c r="Q45" s="1"/>
    </row>
    <row r="46" spans="5:17" x14ac:dyDescent="0.3">
      <c r="E46" s="1"/>
      <c r="F46" s="1"/>
      <c r="K46" s="26"/>
      <c r="M46" s="1"/>
      <c r="N46" s="1"/>
      <c r="O46" s="1"/>
      <c r="P46" s="1"/>
      <c r="Q46" s="1"/>
    </row>
    <row r="47" spans="5:17" x14ac:dyDescent="0.3">
      <c r="E47" s="1"/>
      <c r="F47" s="1"/>
      <c r="G47" s="8"/>
      <c r="K47" s="27"/>
      <c r="M47" s="1"/>
      <c r="N47" s="1"/>
      <c r="O47" s="1"/>
      <c r="P47" s="1"/>
      <c r="Q47" s="1"/>
    </row>
    <row r="48" spans="5:17" x14ac:dyDescent="0.3">
      <c r="E48" s="1"/>
      <c r="F48" s="1"/>
      <c r="G48" s="8"/>
      <c r="K48" s="27"/>
      <c r="M48" s="1"/>
      <c r="N48" s="1"/>
      <c r="O48" s="1"/>
      <c r="P48" s="1"/>
      <c r="Q48" s="1"/>
    </row>
    <row r="49" spans="5:17" x14ac:dyDescent="0.3">
      <c r="E49" s="1"/>
      <c r="F49" s="1"/>
      <c r="G49" s="8"/>
      <c r="K49" s="27"/>
      <c r="M49" s="1"/>
      <c r="N49" s="1"/>
      <c r="O49" s="1"/>
      <c r="P49" s="1"/>
      <c r="Q49" s="1"/>
    </row>
    <row r="50" spans="5:17" x14ac:dyDescent="0.3">
      <c r="E50" s="1"/>
      <c r="F50" s="1"/>
      <c r="G50" s="8"/>
      <c r="K50" s="27"/>
      <c r="M50" s="1"/>
      <c r="N50" s="1"/>
      <c r="O50" s="1"/>
      <c r="P50" s="1"/>
      <c r="Q50" s="1"/>
    </row>
    <row r="51" spans="5:17" x14ac:dyDescent="0.3">
      <c r="E51" s="1"/>
      <c r="F51" s="1"/>
      <c r="G51" s="8"/>
      <c r="K51" s="27"/>
      <c r="M51" s="1"/>
      <c r="N51" s="1"/>
      <c r="O51" s="1"/>
      <c r="P51" s="1"/>
      <c r="Q51" s="1"/>
    </row>
    <row r="52" spans="5:17" x14ac:dyDescent="0.3">
      <c r="E52" s="1"/>
      <c r="F52" s="1"/>
      <c r="G52" s="8"/>
      <c r="K52" s="27"/>
      <c r="M52" s="1"/>
      <c r="N52" s="1"/>
      <c r="O52" s="1"/>
      <c r="P52" s="1"/>
      <c r="Q52" s="1"/>
    </row>
    <row r="53" spans="5:17" x14ac:dyDescent="0.3">
      <c r="E53" s="1"/>
      <c r="F53" s="1"/>
      <c r="G53" s="8"/>
      <c r="K53" s="27"/>
      <c r="M53" s="1"/>
      <c r="N53" s="1"/>
      <c r="O53" s="1"/>
      <c r="P53" s="1"/>
      <c r="Q53" s="1"/>
    </row>
    <row r="54" spans="5:17" x14ac:dyDescent="0.3">
      <c r="E54" s="1"/>
      <c r="F54" s="1"/>
      <c r="G54" s="8"/>
      <c r="K54" s="27"/>
      <c r="M54" s="1"/>
      <c r="N54" s="1"/>
      <c r="O54" s="1"/>
      <c r="P54" s="1"/>
      <c r="Q54" s="1"/>
    </row>
    <row r="55" spans="5:17" x14ac:dyDescent="0.3">
      <c r="E55" s="1"/>
      <c r="F55" s="1"/>
      <c r="G55" s="8"/>
      <c r="K55" s="27"/>
      <c r="M55" s="1"/>
      <c r="N55" s="1"/>
      <c r="O55" s="1"/>
      <c r="P55" s="1"/>
      <c r="Q55" s="1"/>
    </row>
    <row r="56" spans="5:17" x14ac:dyDescent="0.3">
      <c r="E56" s="1"/>
      <c r="F56" s="1"/>
      <c r="G56" s="8"/>
      <c r="K56" s="27"/>
      <c r="M56" s="1"/>
      <c r="N56" s="1"/>
      <c r="O56" s="1"/>
      <c r="P56" s="1"/>
      <c r="Q56" s="1"/>
    </row>
    <row r="57" spans="5:17" x14ac:dyDescent="0.3">
      <c r="E57" s="1"/>
      <c r="F57" s="1"/>
      <c r="G57" s="8"/>
      <c r="K57" s="27"/>
      <c r="M57" s="1"/>
      <c r="N57" s="1"/>
      <c r="O57" s="1"/>
      <c r="P57" s="1"/>
      <c r="Q57" s="1"/>
    </row>
  </sheetData>
  <mergeCells count="3">
    <mergeCell ref="G1:J1"/>
    <mergeCell ref="C3:D3"/>
    <mergeCell ref="L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3F82-1B74-4075-9CFE-E037EB6106A3}">
  <dimension ref="B1:U39"/>
  <sheetViews>
    <sheetView workbookViewId="0">
      <pane ySplit="12" topLeftCell="A26" activePane="bottomLeft" state="frozen"/>
      <selection pane="bottomLeft" activeCell="U9" sqref="U9"/>
    </sheetView>
  </sheetViews>
  <sheetFormatPr defaultRowHeight="14.4" x14ac:dyDescent="0.3"/>
  <cols>
    <col min="2" max="2" width="14.21875" customWidth="1"/>
    <col min="5" max="5" width="9.88671875" bestFit="1" customWidth="1"/>
    <col min="6" max="6" width="13.109375" bestFit="1" customWidth="1"/>
    <col min="8" max="8" width="9.88671875" bestFit="1" customWidth="1"/>
    <col min="9" max="9" width="3.33203125" style="28" customWidth="1"/>
    <col min="10" max="10" width="10.88671875" bestFit="1" customWidth="1"/>
    <col min="11" max="11" width="10.88671875" customWidth="1"/>
    <col min="13" max="13" width="10.88671875" bestFit="1" customWidth="1"/>
    <col min="14" max="14" width="3.21875" style="28" customWidth="1"/>
    <col min="15" max="15" width="10.88671875" bestFit="1" customWidth="1"/>
    <col min="16" max="16" width="3.21875" customWidth="1"/>
    <col min="17" max="17" width="8.88671875" style="49"/>
  </cols>
  <sheetData>
    <row r="1" spans="2:21" s="46" customFormat="1" ht="18" x14ac:dyDescent="0.35">
      <c r="B1" s="94" t="s">
        <v>109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2:21" s="46" customFormat="1" ht="18" x14ac:dyDescent="0.3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21" x14ac:dyDescent="0.3">
      <c r="D3" s="4" t="s">
        <v>3</v>
      </c>
      <c r="E3" s="93" t="s">
        <v>25</v>
      </c>
      <c r="F3" s="93"/>
      <c r="G3" s="93"/>
      <c r="H3" s="93"/>
      <c r="I3" s="23"/>
      <c r="J3" s="91" t="s">
        <v>24</v>
      </c>
      <c r="K3" s="91"/>
      <c r="L3" s="91"/>
      <c r="M3" s="91"/>
      <c r="N3" s="23"/>
      <c r="O3" s="30"/>
    </row>
    <row r="4" spans="2:21" x14ac:dyDescent="0.3">
      <c r="B4" s="16" t="s">
        <v>6</v>
      </c>
      <c r="C4" s="16"/>
      <c r="D4" s="16" t="s">
        <v>5</v>
      </c>
      <c r="E4" s="18" t="s">
        <v>0</v>
      </c>
      <c r="F4" s="18" t="s">
        <v>31</v>
      </c>
      <c r="G4" s="18" t="s">
        <v>1</v>
      </c>
      <c r="H4" s="18" t="s">
        <v>0</v>
      </c>
      <c r="I4" s="23"/>
      <c r="J4" s="17" t="s">
        <v>0</v>
      </c>
      <c r="K4" s="17" t="s">
        <v>31</v>
      </c>
      <c r="L4" s="16" t="s">
        <v>1</v>
      </c>
      <c r="M4" s="16" t="s">
        <v>0</v>
      </c>
      <c r="N4" s="23"/>
      <c r="O4" s="19" t="s">
        <v>21</v>
      </c>
      <c r="P4" s="35"/>
      <c r="Q4" s="50" t="s">
        <v>27</v>
      </c>
      <c r="R4" s="16" t="s">
        <v>28</v>
      </c>
    </row>
    <row r="5" spans="2:21" x14ac:dyDescent="0.3">
      <c r="D5">
        <v>1</v>
      </c>
      <c r="E5" s="2">
        <v>0</v>
      </c>
      <c r="F5" s="2">
        <f>$C$6*$C$7</f>
        <v>5000</v>
      </c>
      <c r="G5" s="2">
        <f>(E5+F5)*$C$9</f>
        <v>400</v>
      </c>
      <c r="H5" s="2">
        <f>E5+F5+G5</f>
        <v>5400</v>
      </c>
      <c r="I5" s="26"/>
      <c r="J5" s="2">
        <v>0</v>
      </c>
      <c r="K5" s="2">
        <f>$C$6*$C$8</f>
        <v>5000</v>
      </c>
      <c r="L5" s="2">
        <f>(J5+K5)*$C$10</f>
        <v>200</v>
      </c>
      <c r="M5" s="2">
        <f>SUM(J5:L5)</f>
        <v>5200</v>
      </c>
      <c r="O5" s="2">
        <f>M5+H5</f>
        <v>10600</v>
      </c>
      <c r="Q5" s="49">
        <f>H5/O5</f>
        <v>0.50943396226415094</v>
      </c>
      <c r="R5" s="49">
        <f>M5/O5</f>
        <v>0.49056603773584906</v>
      </c>
    </row>
    <row r="6" spans="2:21" x14ac:dyDescent="0.3">
      <c r="B6" t="s">
        <v>26</v>
      </c>
      <c r="C6" s="21">
        <v>10000</v>
      </c>
      <c r="D6">
        <v>2</v>
      </c>
      <c r="E6" s="2">
        <f>H5</f>
        <v>5400</v>
      </c>
      <c r="F6" s="2">
        <f t="shared" ref="F6:F39" si="0">$C$6*$C$7</f>
        <v>5000</v>
      </c>
      <c r="G6" s="2">
        <f t="shared" ref="G6:G39" si="1">(E6+F6)*$C$9</f>
        <v>832</v>
      </c>
      <c r="H6" s="2">
        <f t="shared" ref="H6:H39" si="2">E6+F6+G6</f>
        <v>11232</v>
      </c>
      <c r="I6" s="26"/>
      <c r="J6" s="2">
        <f>M5</f>
        <v>5200</v>
      </c>
      <c r="K6" s="2">
        <f t="shared" ref="K6:K39" si="3">$C$6*$C$8</f>
        <v>5000</v>
      </c>
      <c r="L6" s="2">
        <f t="shared" ref="L6:L39" si="4">(J6+K6)*$C$10</f>
        <v>408</v>
      </c>
      <c r="M6" s="2">
        <f t="shared" ref="M6:M39" si="5">SUM(J6:L6)</f>
        <v>10608</v>
      </c>
      <c r="O6" s="2">
        <f t="shared" ref="O6:O39" si="6">M6+H6</f>
        <v>21840</v>
      </c>
      <c r="Q6" s="49">
        <f t="shared" ref="Q6:Q39" si="7">H6/O6</f>
        <v>0.51428571428571423</v>
      </c>
      <c r="R6" s="49">
        <f t="shared" ref="R6:R39" si="8">M6/O6</f>
        <v>0.48571428571428571</v>
      </c>
    </row>
    <row r="7" spans="2:21" x14ac:dyDescent="0.3">
      <c r="B7" s="34" t="s">
        <v>27</v>
      </c>
      <c r="C7" s="20">
        <v>0.5</v>
      </c>
      <c r="D7">
        <v>3</v>
      </c>
      <c r="E7" s="2">
        <f t="shared" ref="E7:E39" si="9">H6</f>
        <v>11232</v>
      </c>
      <c r="F7" s="2">
        <f t="shared" si="0"/>
        <v>5000</v>
      </c>
      <c r="G7" s="2">
        <f t="shared" si="1"/>
        <v>1298.56</v>
      </c>
      <c r="H7" s="2">
        <f t="shared" si="2"/>
        <v>17530.560000000001</v>
      </c>
      <c r="I7" s="26"/>
      <c r="J7" s="2">
        <f t="shared" ref="J7:J39" si="10">M6</f>
        <v>10608</v>
      </c>
      <c r="K7" s="2">
        <f t="shared" si="3"/>
        <v>5000</v>
      </c>
      <c r="L7" s="2">
        <f t="shared" si="4"/>
        <v>624.32000000000005</v>
      </c>
      <c r="M7" s="2">
        <f t="shared" si="5"/>
        <v>16232.32</v>
      </c>
      <c r="O7" s="2">
        <f t="shared" si="6"/>
        <v>33762.880000000005</v>
      </c>
      <c r="Q7" s="49">
        <f t="shared" si="7"/>
        <v>0.5192258480319214</v>
      </c>
      <c r="R7" s="49">
        <f t="shared" si="8"/>
        <v>0.48077415196807849</v>
      </c>
    </row>
    <row r="8" spans="2:21" x14ac:dyDescent="0.3">
      <c r="B8" s="34" t="s">
        <v>28</v>
      </c>
      <c r="C8" s="20">
        <v>0.5</v>
      </c>
      <c r="D8">
        <v>4</v>
      </c>
      <c r="E8" s="2">
        <f t="shared" si="9"/>
        <v>17530.560000000001</v>
      </c>
      <c r="F8" s="2">
        <f t="shared" si="0"/>
        <v>5000</v>
      </c>
      <c r="G8" s="2">
        <f t="shared" si="1"/>
        <v>1802.4448000000002</v>
      </c>
      <c r="H8" s="2">
        <f t="shared" si="2"/>
        <v>24333.004800000002</v>
      </c>
      <c r="I8" s="26"/>
      <c r="J8" s="2">
        <f t="shared" si="10"/>
        <v>16232.32</v>
      </c>
      <c r="K8" s="2">
        <f t="shared" si="3"/>
        <v>5000</v>
      </c>
      <c r="L8" s="2">
        <f t="shared" si="4"/>
        <v>849.29280000000006</v>
      </c>
      <c r="M8" s="2">
        <f t="shared" si="5"/>
        <v>22081.612799999999</v>
      </c>
      <c r="O8" s="2">
        <f t="shared" si="6"/>
        <v>46414.617599999998</v>
      </c>
      <c r="Q8" s="49">
        <f t="shared" si="7"/>
        <v>0.52425304910839132</v>
      </c>
      <c r="R8" s="49">
        <f t="shared" si="8"/>
        <v>0.47574695089160879</v>
      </c>
    </row>
    <row r="9" spans="2:21" x14ac:dyDescent="0.3">
      <c r="B9" t="s">
        <v>29</v>
      </c>
      <c r="C9" s="48">
        <v>0.08</v>
      </c>
      <c r="D9">
        <v>5</v>
      </c>
      <c r="E9" s="2">
        <f t="shared" si="9"/>
        <v>24333.004800000002</v>
      </c>
      <c r="F9" s="2">
        <f t="shared" si="0"/>
        <v>5000</v>
      </c>
      <c r="G9" s="2">
        <f t="shared" si="1"/>
        <v>2346.6403840000003</v>
      </c>
      <c r="H9" s="2">
        <f t="shared" si="2"/>
        <v>31679.645184000001</v>
      </c>
      <c r="I9" s="26"/>
      <c r="J9" s="2">
        <f t="shared" si="10"/>
        <v>22081.612799999999</v>
      </c>
      <c r="K9" s="2">
        <f t="shared" si="3"/>
        <v>5000</v>
      </c>
      <c r="L9" s="2">
        <f t="shared" si="4"/>
        <v>1083.264512</v>
      </c>
      <c r="M9" s="2">
        <f t="shared" si="5"/>
        <v>28164.877312000001</v>
      </c>
      <c r="O9" s="2">
        <f t="shared" si="6"/>
        <v>59844.522496000005</v>
      </c>
      <c r="Q9" s="49">
        <f t="shared" si="7"/>
        <v>0.5293658276932105</v>
      </c>
      <c r="R9" s="49">
        <f t="shared" si="8"/>
        <v>0.47063417230678939</v>
      </c>
    </row>
    <row r="10" spans="2:21" x14ac:dyDescent="0.3">
      <c r="B10" t="s">
        <v>30</v>
      </c>
      <c r="C10" s="48">
        <v>0.04</v>
      </c>
      <c r="D10">
        <v>6</v>
      </c>
      <c r="E10" s="2">
        <f t="shared" si="9"/>
        <v>31679.645184000001</v>
      </c>
      <c r="F10" s="2">
        <f t="shared" si="0"/>
        <v>5000</v>
      </c>
      <c r="G10" s="2">
        <f t="shared" si="1"/>
        <v>2934.3716147200003</v>
      </c>
      <c r="H10" s="2">
        <f t="shared" si="2"/>
        <v>39614.016798720004</v>
      </c>
      <c r="I10" s="26"/>
      <c r="J10" s="2">
        <f t="shared" si="10"/>
        <v>28164.877312000001</v>
      </c>
      <c r="K10" s="2">
        <f t="shared" si="3"/>
        <v>5000</v>
      </c>
      <c r="L10" s="2">
        <f t="shared" si="4"/>
        <v>1326.5950924799999</v>
      </c>
      <c r="M10" s="2">
        <f t="shared" si="5"/>
        <v>34491.472404479995</v>
      </c>
      <c r="O10" s="2">
        <f t="shared" si="6"/>
        <v>74105.489203200006</v>
      </c>
      <c r="Q10" s="49">
        <f t="shared" si="7"/>
        <v>0.53456251655119502</v>
      </c>
      <c r="R10" s="49">
        <f t="shared" si="8"/>
        <v>0.46543748344880492</v>
      </c>
    </row>
    <row r="11" spans="2:21" x14ac:dyDescent="0.3">
      <c r="D11">
        <v>7</v>
      </c>
      <c r="E11" s="2">
        <f t="shared" si="9"/>
        <v>39614.016798720004</v>
      </c>
      <c r="F11" s="2">
        <f t="shared" si="0"/>
        <v>5000</v>
      </c>
      <c r="G11" s="2">
        <f t="shared" si="1"/>
        <v>3569.1213438976006</v>
      </c>
      <c r="H11" s="2">
        <f t="shared" si="2"/>
        <v>48183.138142617601</v>
      </c>
      <c r="I11" s="26"/>
      <c r="J11" s="2">
        <f t="shared" si="10"/>
        <v>34491.472404479995</v>
      </c>
      <c r="K11" s="2">
        <f t="shared" si="3"/>
        <v>5000</v>
      </c>
      <c r="L11" s="2">
        <f t="shared" si="4"/>
        <v>1579.6588961791999</v>
      </c>
      <c r="M11" s="2">
        <f t="shared" si="5"/>
        <v>41071.131300659195</v>
      </c>
      <c r="O11" s="2">
        <f t="shared" si="6"/>
        <v>89254.269443276804</v>
      </c>
      <c r="Q11" s="49">
        <f t="shared" si="7"/>
        <v>0.53984126970238799</v>
      </c>
      <c r="R11" s="49">
        <f t="shared" si="8"/>
        <v>0.4601587302976119</v>
      </c>
    </row>
    <row r="12" spans="2:21" x14ac:dyDescent="0.3">
      <c r="D12">
        <v>8</v>
      </c>
      <c r="E12" s="2">
        <f t="shared" si="9"/>
        <v>48183.138142617601</v>
      </c>
      <c r="F12" s="2">
        <f t="shared" si="0"/>
        <v>5000</v>
      </c>
      <c r="G12" s="2">
        <f t="shared" si="1"/>
        <v>4254.651051409408</v>
      </c>
      <c r="H12" s="2">
        <f t="shared" si="2"/>
        <v>57437.789194027006</v>
      </c>
      <c r="I12" s="26"/>
      <c r="J12" s="2">
        <f t="shared" si="10"/>
        <v>41071.131300659195</v>
      </c>
      <c r="K12" s="2">
        <f t="shared" si="3"/>
        <v>5000</v>
      </c>
      <c r="L12" s="2">
        <f t="shared" si="4"/>
        <v>1842.8452520263679</v>
      </c>
      <c r="M12" s="2">
        <f t="shared" si="5"/>
        <v>47913.976552685563</v>
      </c>
      <c r="O12" s="2">
        <f t="shared" si="6"/>
        <v>105351.76574671257</v>
      </c>
      <c r="Q12" s="49">
        <f t="shared" si="7"/>
        <v>0.5452000617827264</v>
      </c>
      <c r="R12" s="49">
        <f t="shared" si="8"/>
        <v>0.45479993821727366</v>
      </c>
      <c r="U12" s="51"/>
    </row>
    <row r="13" spans="2:21" x14ac:dyDescent="0.3">
      <c r="D13">
        <v>9</v>
      </c>
      <c r="E13" s="2">
        <f t="shared" si="9"/>
        <v>57437.789194027006</v>
      </c>
      <c r="F13" s="2">
        <f t="shared" si="0"/>
        <v>5000</v>
      </c>
      <c r="G13" s="2">
        <f t="shared" si="1"/>
        <v>4995.0231355221604</v>
      </c>
      <c r="H13" s="2">
        <f t="shared" si="2"/>
        <v>67432.812329549168</v>
      </c>
      <c r="I13" s="26"/>
      <c r="J13" s="2">
        <f t="shared" si="10"/>
        <v>47913.976552685563</v>
      </c>
      <c r="K13" s="2">
        <f t="shared" si="3"/>
        <v>5000</v>
      </c>
      <c r="L13" s="2">
        <f t="shared" si="4"/>
        <v>2116.5590621074225</v>
      </c>
      <c r="M13" s="2">
        <f t="shared" si="5"/>
        <v>55030.535614792985</v>
      </c>
      <c r="O13" s="2">
        <f t="shared" si="6"/>
        <v>122463.34794434215</v>
      </c>
      <c r="Q13" s="49">
        <f t="shared" si="7"/>
        <v>0.55063668813134536</v>
      </c>
      <c r="R13" s="49">
        <f t="shared" si="8"/>
        <v>0.44936331186865464</v>
      </c>
    </row>
    <row r="14" spans="2:21" x14ac:dyDescent="0.3">
      <c r="D14">
        <v>10</v>
      </c>
      <c r="E14" s="2">
        <f t="shared" si="9"/>
        <v>67432.812329549168</v>
      </c>
      <c r="F14" s="2">
        <f t="shared" si="0"/>
        <v>5000</v>
      </c>
      <c r="G14" s="2">
        <f t="shared" si="1"/>
        <v>5794.6249863639332</v>
      </c>
      <c r="H14" s="2">
        <f t="shared" si="2"/>
        <v>78227.437315913106</v>
      </c>
      <c r="I14" s="26"/>
      <c r="J14" s="2">
        <f t="shared" si="10"/>
        <v>55030.535614792985</v>
      </c>
      <c r="K14" s="2">
        <f t="shared" si="3"/>
        <v>5000</v>
      </c>
      <c r="L14" s="2">
        <f t="shared" si="4"/>
        <v>2401.2214245917194</v>
      </c>
      <c r="M14" s="2">
        <f t="shared" si="5"/>
        <v>62431.757039384705</v>
      </c>
      <c r="O14" s="2">
        <f t="shared" si="6"/>
        <v>140659.1943552978</v>
      </c>
      <c r="Q14" s="49">
        <f t="shared" si="7"/>
        <v>0.55614876563500482</v>
      </c>
      <c r="R14" s="49">
        <f t="shared" si="8"/>
        <v>0.4438512343649953</v>
      </c>
    </row>
    <row r="15" spans="2:21" x14ac:dyDescent="0.3">
      <c r="D15">
        <v>11</v>
      </c>
      <c r="E15" s="2">
        <f t="shared" si="9"/>
        <v>78227.437315913106</v>
      </c>
      <c r="F15" s="2">
        <f t="shared" si="0"/>
        <v>5000</v>
      </c>
      <c r="G15" s="2">
        <f t="shared" si="1"/>
        <v>6658.1949852730486</v>
      </c>
      <c r="H15" s="2">
        <f t="shared" si="2"/>
        <v>89885.632301186153</v>
      </c>
      <c r="I15" s="26"/>
      <c r="J15" s="2">
        <f t="shared" si="10"/>
        <v>62431.757039384705</v>
      </c>
      <c r="K15" s="2">
        <f t="shared" si="3"/>
        <v>5000</v>
      </c>
      <c r="L15" s="2">
        <f t="shared" si="4"/>
        <v>2697.2702815753887</v>
      </c>
      <c r="M15" s="2">
        <f t="shared" si="5"/>
        <v>70129.0273209601</v>
      </c>
      <c r="O15" s="2">
        <f t="shared" si="6"/>
        <v>160014.65962214625</v>
      </c>
      <c r="Q15" s="49">
        <f t="shared" si="7"/>
        <v>0.5617337343555856</v>
      </c>
      <c r="R15" s="49">
        <f t="shared" si="8"/>
        <v>0.4382662656444144</v>
      </c>
    </row>
    <row r="16" spans="2:21" x14ac:dyDescent="0.3">
      <c r="D16">
        <v>12</v>
      </c>
      <c r="E16" s="2">
        <f t="shared" si="9"/>
        <v>89885.632301186153</v>
      </c>
      <c r="F16" s="2">
        <f t="shared" si="0"/>
        <v>5000</v>
      </c>
      <c r="G16" s="2">
        <f t="shared" si="1"/>
        <v>7590.8505840948928</v>
      </c>
      <c r="H16" s="2">
        <f t="shared" si="2"/>
        <v>102476.48288528105</v>
      </c>
      <c r="I16" s="26"/>
      <c r="J16" s="2">
        <f t="shared" si="10"/>
        <v>70129.0273209601</v>
      </c>
      <c r="K16" s="2">
        <f t="shared" si="3"/>
        <v>5000</v>
      </c>
      <c r="L16" s="2">
        <f t="shared" si="4"/>
        <v>3005.1610928384039</v>
      </c>
      <c r="M16" s="2">
        <f t="shared" si="5"/>
        <v>78134.188413798503</v>
      </c>
      <c r="O16" s="2">
        <f t="shared" si="6"/>
        <v>180610.67129907955</v>
      </c>
      <c r="Q16" s="49">
        <f t="shared" si="7"/>
        <v>0.56738885996158361</v>
      </c>
      <c r="R16" s="49">
        <f t="shared" si="8"/>
        <v>0.43261114003841644</v>
      </c>
    </row>
    <row r="17" spans="4:18" x14ac:dyDescent="0.3">
      <c r="D17">
        <v>13</v>
      </c>
      <c r="E17" s="2">
        <f t="shared" si="9"/>
        <v>102476.48288528105</v>
      </c>
      <c r="F17" s="2">
        <f t="shared" si="0"/>
        <v>5000</v>
      </c>
      <c r="G17" s="2">
        <f t="shared" si="1"/>
        <v>8598.1186308224842</v>
      </c>
      <c r="H17" s="2">
        <f t="shared" si="2"/>
        <v>116074.60151610353</v>
      </c>
      <c r="I17" s="26"/>
      <c r="J17" s="2">
        <f t="shared" si="10"/>
        <v>78134.188413798503</v>
      </c>
      <c r="K17" s="2">
        <f t="shared" si="3"/>
        <v>5000</v>
      </c>
      <c r="L17" s="2">
        <f t="shared" si="4"/>
        <v>3325.3675365519402</v>
      </c>
      <c r="M17" s="2">
        <f t="shared" si="5"/>
        <v>86459.555950350448</v>
      </c>
      <c r="O17" s="2">
        <f t="shared" si="6"/>
        <v>202534.15746645397</v>
      </c>
      <c r="Q17" s="49">
        <f t="shared" si="7"/>
        <v>0.57311123697902233</v>
      </c>
      <c r="R17" s="49">
        <f t="shared" si="8"/>
        <v>0.42688876302097772</v>
      </c>
    </row>
    <row r="18" spans="4:18" x14ac:dyDescent="0.3">
      <c r="D18">
        <v>14</v>
      </c>
      <c r="E18" s="2">
        <f t="shared" si="9"/>
        <v>116074.60151610353</v>
      </c>
      <c r="F18" s="2">
        <f t="shared" si="0"/>
        <v>5000</v>
      </c>
      <c r="G18" s="2">
        <f t="shared" si="1"/>
        <v>9685.9681212882824</v>
      </c>
      <c r="H18" s="2">
        <f t="shared" si="2"/>
        <v>130760.56963739182</v>
      </c>
      <c r="I18" s="26"/>
      <c r="J18" s="2">
        <f t="shared" si="10"/>
        <v>86459.555950350448</v>
      </c>
      <c r="K18" s="2">
        <f t="shared" si="3"/>
        <v>5000</v>
      </c>
      <c r="L18" s="2">
        <f t="shared" si="4"/>
        <v>3658.3822380140182</v>
      </c>
      <c r="M18" s="2">
        <f t="shared" si="5"/>
        <v>95117.938188364467</v>
      </c>
      <c r="O18" s="2">
        <f t="shared" si="6"/>
        <v>225878.50782575627</v>
      </c>
      <c r="Q18" s="49">
        <f t="shared" si="7"/>
        <v>0.57889779287129495</v>
      </c>
      <c r="R18" s="49">
        <f t="shared" si="8"/>
        <v>0.42110220712870516</v>
      </c>
    </row>
    <row r="19" spans="4:18" x14ac:dyDescent="0.3">
      <c r="D19">
        <v>15</v>
      </c>
      <c r="E19" s="2">
        <f t="shared" si="9"/>
        <v>130760.56963739182</v>
      </c>
      <c r="F19" s="2">
        <f t="shared" si="0"/>
        <v>5000</v>
      </c>
      <c r="G19" s="2">
        <f t="shared" si="1"/>
        <v>10860.845570991347</v>
      </c>
      <c r="H19" s="2">
        <f t="shared" si="2"/>
        <v>146621.41520838317</v>
      </c>
      <c r="I19" s="26"/>
      <c r="J19" s="2">
        <f t="shared" si="10"/>
        <v>95117.938188364467</v>
      </c>
      <c r="K19" s="2">
        <f t="shared" si="3"/>
        <v>5000</v>
      </c>
      <c r="L19" s="2">
        <f t="shared" si="4"/>
        <v>4004.7175275345789</v>
      </c>
      <c r="M19" s="2">
        <f t="shared" si="5"/>
        <v>104122.65571589905</v>
      </c>
      <c r="O19" s="2">
        <f t="shared" si="6"/>
        <v>250744.07092428222</v>
      </c>
      <c r="Q19" s="49">
        <f t="shared" si="7"/>
        <v>0.5847452929511493</v>
      </c>
      <c r="R19" s="49">
        <f t="shared" si="8"/>
        <v>0.41525470704885065</v>
      </c>
    </row>
    <row r="20" spans="4:18" x14ac:dyDescent="0.3">
      <c r="D20">
        <v>16</v>
      </c>
      <c r="E20" s="2">
        <f t="shared" si="9"/>
        <v>146621.41520838317</v>
      </c>
      <c r="F20" s="2">
        <f t="shared" si="0"/>
        <v>5000</v>
      </c>
      <c r="G20" s="2">
        <f t="shared" si="1"/>
        <v>12129.713216670654</v>
      </c>
      <c r="H20" s="2">
        <f t="shared" si="2"/>
        <v>163751.12842505382</v>
      </c>
      <c r="I20" s="26"/>
      <c r="J20" s="2">
        <f t="shared" si="10"/>
        <v>104122.65571589905</v>
      </c>
      <c r="K20" s="2">
        <f t="shared" si="3"/>
        <v>5000</v>
      </c>
      <c r="L20" s="2">
        <f t="shared" si="4"/>
        <v>4364.9062286359622</v>
      </c>
      <c r="M20" s="2">
        <f t="shared" si="5"/>
        <v>113487.561944535</v>
      </c>
      <c r="O20" s="2">
        <f t="shared" si="6"/>
        <v>277238.69036958879</v>
      </c>
      <c r="Q20" s="49">
        <f t="shared" si="7"/>
        <v>0.59065034612144529</v>
      </c>
      <c r="R20" s="49">
        <f t="shared" si="8"/>
        <v>0.40934965387855482</v>
      </c>
    </row>
    <row r="21" spans="4:18" x14ac:dyDescent="0.3">
      <c r="D21">
        <v>17</v>
      </c>
      <c r="E21" s="2">
        <f t="shared" si="9"/>
        <v>163751.12842505382</v>
      </c>
      <c r="F21" s="2">
        <f t="shared" si="0"/>
        <v>5000</v>
      </c>
      <c r="G21" s="2">
        <f t="shared" si="1"/>
        <v>13500.090274004306</v>
      </c>
      <c r="H21" s="2">
        <f t="shared" si="2"/>
        <v>182251.21869905811</v>
      </c>
      <c r="I21" s="26"/>
      <c r="J21" s="2">
        <f t="shared" si="10"/>
        <v>113487.561944535</v>
      </c>
      <c r="K21" s="2">
        <f t="shared" si="3"/>
        <v>5000</v>
      </c>
      <c r="L21" s="2">
        <f t="shared" si="4"/>
        <v>4739.5024777814006</v>
      </c>
      <c r="M21" s="2">
        <f t="shared" si="5"/>
        <v>123227.0644223164</v>
      </c>
      <c r="O21" s="2">
        <f t="shared" si="6"/>
        <v>305478.28312137449</v>
      </c>
      <c r="Q21" s="49">
        <f t="shared" si="7"/>
        <v>0.5966094114344781</v>
      </c>
      <c r="R21" s="49">
        <f t="shared" si="8"/>
        <v>0.4033905885655219</v>
      </c>
    </row>
    <row r="22" spans="4:18" x14ac:dyDescent="0.3">
      <c r="D22">
        <v>18</v>
      </c>
      <c r="E22" s="2">
        <f t="shared" si="9"/>
        <v>182251.21869905811</v>
      </c>
      <c r="F22" s="2">
        <f t="shared" si="0"/>
        <v>5000</v>
      </c>
      <c r="G22" s="2">
        <f t="shared" si="1"/>
        <v>14980.097495924649</v>
      </c>
      <c r="H22" s="2">
        <f t="shared" si="2"/>
        <v>202231.31619498276</v>
      </c>
      <c r="I22" s="26"/>
      <c r="J22" s="2">
        <f t="shared" si="10"/>
        <v>123227.0644223164</v>
      </c>
      <c r="K22" s="2">
        <f t="shared" si="3"/>
        <v>5000</v>
      </c>
      <c r="L22" s="2">
        <f t="shared" si="4"/>
        <v>5129.0825768926561</v>
      </c>
      <c r="M22" s="2">
        <f t="shared" si="5"/>
        <v>133356.14699920904</v>
      </c>
      <c r="O22" s="2">
        <f t="shared" si="6"/>
        <v>335587.46319419181</v>
      </c>
      <c r="Q22" s="49">
        <f t="shared" si="7"/>
        <v>0.60261880545269098</v>
      </c>
      <c r="R22" s="49">
        <f t="shared" si="8"/>
        <v>0.39738119454730902</v>
      </c>
    </row>
    <row r="23" spans="4:18" x14ac:dyDescent="0.3">
      <c r="D23">
        <v>19</v>
      </c>
      <c r="E23" s="2">
        <f t="shared" si="9"/>
        <v>202231.31619498276</v>
      </c>
      <c r="F23" s="2">
        <f t="shared" si="0"/>
        <v>5000</v>
      </c>
      <c r="G23" s="2">
        <f t="shared" si="1"/>
        <v>16578.505295598621</v>
      </c>
      <c r="H23" s="2">
        <f t="shared" si="2"/>
        <v>223809.82149058138</v>
      </c>
      <c r="I23" s="26"/>
      <c r="J23" s="2">
        <f t="shared" si="10"/>
        <v>133356.14699920904</v>
      </c>
      <c r="K23" s="2">
        <f t="shared" si="3"/>
        <v>5000</v>
      </c>
      <c r="L23" s="2">
        <f t="shared" si="4"/>
        <v>5534.2458799683618</v>
      </c>
      <c r="M23" s="2">
        <f t="shared" si="5"/>
        <v>143890.39287917741</v>
      </c>
      <c r="O23" s="2">
        <f t="shared" si="6"/>
        <v>367700.21436975879</v>
      </c>
      <c r="Q23" s="49">
        <f t="shared" si="7"/>
        <v>0.60867471038653942</v>
      </c>
      <c r="R23" s="49">
        <f t="shared" si="8"/>
        <v>0.39132528961346064</v>
      </c>
    </row>
    <row r="24" spans="4:18" x14ac:dyDescent="0.3">
      <c r="D24">
        <v>20</v>
      </c>
      <c r="E24" s="2">
        <f t="shared" si="9"/>
        <v>223809.82149058138</v>
      </c>
      <c r="F24" s="2">
        <f t="shared" si="0"/>
        <v>5000</v>
      </c>
      <c r="G24" s="2">
        <f t="shared" si="1"/>
        <v>18304.785719246513</v>
      </c>
      <c r="H24" s="2">
        <f t="shared" si="2"/>
        <v>247114.6072098279</v>
      </c>
      <c r="J24" s="2">
        <f t="shared" si="10"/>
        <v>143890.39287917741</v>
      </c>
      <c r="K24" s="2">
        <f t="shared" si="3"/>
        <v>5000</v>
      </c>
      <c r="L24" s="2">
        <f t="shared" si="4"/>
        <v>5955.6157151670968</v>
      </c>
      <c r="M24" s="2">
        <f t="shared" si="5"/>
        <v>154846.00859434452</v>
      </c>
      <c r="O24" s="2">
        <f t="shared" si="6"/>
        <v>401960.61580417241</v>
      </c>
      <c r="Q24" s="49">
        <f t="shared" si="7"/>
        <v>0.61477318297824846</v>
      </c>
      <c r="R24" s="49">
        <f t="shared" si="8"/>
        <v>0.3852268170217516</v>
      </c>
    </row>
    <row r="25" spans="4:18" x14ac:dyDescent="0.3">
      <c r="D25">
        <v>21</v>
      </c>
      <c r="E25" s="2">
        <f t="shared" si="9"/>
        <v>247114.6072098279</v>
      </c>
      <c r="F25" s="2">
        <f t="shared" si="0"/>
        <v>5000</v>
      </c>
      <c r="G25" s="2">
        <f t="shared" si="1"/>
        <v>20169.168576786233</v>
      </c>
      <c r="H25" s="2">
        <f t="shared" si="2"/>
        <v>272283.7757866141</v>
      </c>
      <c r="J25" s="2">
        <f t="shared" si="10"/>
        <v>154846.00859434452</v>
      </c>
      <c r="K25" s="2">
        <f t="shared" si="3"/>
        <v>5000</v>
      </c>
      <c r="L25" s="2">
        <f t="shared" si="4"/>
        <v>6393.8403437737807</v>
      </c>
      <c r="M25" s="2">
        <f t="shared" si="5"/>
        <v>166239.84893811829</v>
      </c>
      <c r="O25" s="2">
        <f t="shared" si="6"/>
        <v>438523.62472473236</v>
      </c>
      <c r="Q25" s="49">
        <f t="shared" si="7"/>
        <v>0.62091016409328137</v>
      </c>
      <c r="R25" s="49">
        <f t="shared" si="8"/>
        <v>0.37908983590671869</v>
      </c>
    </row>
    <row r="26" spans="4:18" x14ac:dyDescent="0.3">
      <c r="D26">
        <v>22</v>
      </c>
      <c r="E26" s="2">
        <f t="shared" si="9"/>
        <v>272283.7757866141</v>
      </c>
      <c r="F26" s="2">
        <f t="shared" si="0"/>
        <v>5000</v>
      </c>
      <c r="G26" s="2">
        <f t="shared" si="1"/>
        <v>22182.702062929129</v>
      </c>
      <c r="H26" s="2">
        <f t="shared" si="2"/>
        <v>299466.47784954321</v>
      </c>
      <c r="J26" s="2">
        <f t="shared" si="10"/>
        <v>166239.84893811829</v>
      </c>
      <c r="K26" s="2">
        <f t="shared" si="3"/>
        <v>5000</v>
      </c>
      <c r="L26" s="2">
        <f t="shared" si="4"/>
        <v>6849.5939575247321</v>
      </c>
      <c r="M26" s="2">
        <f t="shared" si="5"/>
        <v>178089.44289564301</v>
      </c>
      <c r="O26" s="2">
        <f t="shared" si="6"/>
        <v>477555.92074518622</v>
      </c>
      <c r="Q26" s="49">
        <f t="shared" si="7"/>
        <v>0.62708148897463301</v>
      </c>
      <c r="R26" s="49">
        <f t="shared" si="8"/>
        <v>0.37291851102536699</v>
      </c>
    </row>
    <row r="27" spans="4:18" x14ac:dyDescent="0.3">
      <c r="D27">
        <v>23</v>
      </c>
      <c r="E27" s="2">
        <f t="shared" si="9"/>
        <v>299466.47784954321</v>
      </c>
      <c r="F27" s="2">
        <f t="shared" si="0"/>
        <v>5000</v>
      </c>
      <c r="G27" s="2">
        <f t="shared" si="1"/>
        <v>24357.318227963457</v>
      </c>
      <c r="H27" s="2">
        <f t="shared" si="2"/>
        <v>328823.79607750667</v>
      </c>
      <c r="J27" s="2">
        <f t="shared" si="10"/>
        <v>178089.44289564301</v>
      </c>
      <c r="K27" s="2">
        <f t="shared" si="3"/>
        <v>5000</v>
      </c>
      <c r="L27" s="2">
        <f t="shared" si="4"/>
        <v>7323.5777158257206</v>
      </c>
      <c r="M27" s="2">
        <f t="shared" si="5"/>
        <v>190413.02061146873</v>
      </c>
      <c r="O27" s="2">
        <f t="shared" si="6"/>
        <v>519236.81668897544</v>
      </c>
      <c r="Q27" s="49">
        <f t="shared" si="7"/>
        <v>0.63328289810865479</v>
      </c>
      <c r="R27" s="49">
        <f t="shared" si="8"/>
        <v>0.36671710189134521</v>
      </c>
    </row>
    <row r="28" spans="4:18" x14ac:dyDescent="0.3">
      <c r="D28">
        <v>24</v>
      </c>
      <c r="E28" s="2">
        <f t="shared" si="9"/>
        <v>328823.79607750667</v>
      </c>
      <c r="F28" s="2">
        <f t="shared" si="0"/>
        <v>5000</v>
      </c>
      <c r="G28" s="2">
        <f t="shared" si="1"/>
        <v>26705.903686200534</v>
      </c>
      <c r="H28" s="2">
        <f t="shared" si="2"/>
        <v>360529.69976370723</v>
      </c>
      <c r="J28" s="2">
        <f t="shared" si="10"/>
        <v>190413.02061146873</v>
      </c>
      <c r="K28" s="2">
        <f t="shared" si="3"/>
        <v>5000</v>
      </c>
      <c r="L28" s="2">
        <f t="shared" si="4"/>
        <v>7816.5208244587493</v>
      </c>
      <c r="M28" s="2">
        <f t="shared" si="5"/>
        <v>203229.54143592747</v>
      </c>
      <c r="O28" s="2">
        <f t="shared" si="6"/>
        <v>563759.24119963474</v>
      </c>
      <c r="Q28" s="49">
        <f t="shared" si="7"/>
        <v>0.63951004864510741</v>
      </c>
      <c r="R28" s="49">
        <f t="shared" si="8"/>
        <v>0.36048995135489259</v>
      </c>
    </row>
    <row r="29" spans="4:18" x14ac:dyDescent="0.3">
      <c r="D29">
        <v>25</v>
      </c>
      <c r="E29" s="2">
        <f t="shared" si="9"/>
        <v>360529.69976370723</v>
      </c>
      <c r="F29" s="2">
        <f t="shared" si="0"/>
        <v>5000</v>
      </c>
      <c r="G29" s="2">
        <f t="shared" si="1"/>
        <v>29242.375981096578</v>
      </c>
      <c r="H29" s="2">
        <f t="shared" si="2"/>
        <v>394772.07574480382</v>
      </c>
      <c r="J29" s="2">
        <f t="shared" si="10"/>
        <v>203229.54143592747</v>
      </c>
      <c r="K29" s="2">
        <f t="shared" si="3"/>
        <v>5000</v>
      </c>
      <c r="L29" s="2">
        <f t="shared" si="4"/>
        <v>8329.1816574370987</v>
      </c>
      <c r="M29" s="2">
        <f t="shared" si="5"/>
        <v>216558.72309336456</v>
      </c>
      <c r="O29" s="2">
        <f t="shared" si="6"/>
        <v>611330.79883816838</v>
      </c>
      <c r="Q29" s="49">
        <f t="shared" si="7"/>
        <v>0.64575852630861474</v>
      </c>
      <c r="R29" s="49">
        <f t="shared" si="8"/>
        <v>0.35424147369138526</v>
      </c>
    </row>
    <row r="30" spans="4:18" x14ac:dyDescent="0.3">
      <c r="D30">
        <v>26</v>
      </c>
      <c r="E30" s="2">
        <f t="shared" si="9"/>
        <v>394772.07574480382</v>
      </c>
      <c r="F30" s="2">
        <f t="shared" si="0"/>
        <v>5000</v>
      </c>
      <c r="G30" s="2">
        <f t="shared" si="1"/>
        <v>31981.766059584308</v>
      </c>
      <c r="H30" s="2">
        <f t="shared" si="2"/>
        <v>431753.84180438815</v>
      </c>
      <c r="J30" s="2">
        <f t="shared" si="10"/>
        <v>216558.72309336456</v>
      </c>
      <c r="K30" s="2">
        <f t="shared" si="3"/>
        <v>5000</v>
      </c>
      <c r="L30" s="2">
        <f t="shared" si="4"/>
        <v>8862.3489237345821</v>
      </c>
      <c r="M30" s="2">
        <f t="shared" si="5"/>
        <v>230421.07201709916</v>
      </c>
      <c r="O30" s="2">
        <f t="shared" si="6"/>
        <v>662174.91382148734</v>
      </c>
      <c r="Q30" s="49">
        <f t="shared" si="7"/>
        <v>0.65202385773373273</v>
      </c>
      <c r="R30" s="49">
        <f t="shared" si="8"/>
        <v>0.34797614226626727</v>
      </c>
    </row>
    <row r="31" spans="4:18" x14ac:dyDescent="0.3">
      <c r="D31">
        <v>27</v>
      </c>
      <c r="E31" s="2">
        <f t="shared" si="9"/>
        <v>431753.84180438815</v>
      </c>
      <c r="F31" s="2">
        <f t="shared" si="0"/>
        <v>5000</v>
      </c>
      <c r="G31" s="2">
        <f t="shared" si="1"/>
        <v>34940.307344351051</v>
      </c>
      <c r="H31" s="2">
        <f t="shared" si="2"/>
        <v>471694.14914873918</v>
      </c>
      <c r="J31" s="2">
        <f t="shared" si="10"/>
        <v>230421.07201709916</v>
      </c>
      <c r="K31" s="2">
        <f t="shared" si="3"/>
        <v>5000</v>
      </c>
      <c r="L31" s="2">
        <f t="shared" si="4"/>
        <v>9416.8428806839656</v>
      </c>
      <c r="M31" s="2">
        <f t="shared" si="5"/>
        <v>244837.91489778314</v>
      </c>
      <c r="O31" s="2">
        <f t="shared" si="6"/>
        <v>716532.06404652237</v>
      </c>
      <c r="Q31" s="49">
        <f t="shared" si="7"/>
        <v>0.65830152315153534</v>
      </c>
      <c r="R31" s="49">
        <f t="shared" si="8"/>
        <v>0.34169847684846455</v>
      </c>
    </row>
    <row r="32" spans="4:18" x14ac:dyDescent="0.3">
      <c r="D32">
        <v>28</v>
      </c>
      <c r="E32" s="2">
        <f t="shared" si="9"/>
        <v>471694.14914873918</v>
      </c>
      <c r="F32" s="2">
        <f t="shared" si="0"/>
        <v>5000</v>
      </c>
      <c r="G32" s="2">
        <f t="shared" si="1"/>
        <v>38135.531931899131</v>
      </c>
      <c r="H32" s="2">
        <f t="shared" si="2"/>
        <v>514829.68108063831</v>
      </c>
      <c r="J32" s="2">
        <f t="shared" si="10"/>
        <v>244837.91489778314</v>
      </c>
      <c r="K32" s="2">
        <f t="shared" si="3"/>
        <v>5000</v>
      </c>
      <c r="L32" s="2">
        <f t="shared" si="4"/>
        <v>9993.5165959113256</v>
      </c>
      <c r="M32" s="2">
        <f t="shared" si="5"/>
        <v>259831.43149369446</v>
      </c>
      <c r="O32" s="2">
        <f t="shared" si="6"/>
        <v>774661.11257433274</v>
      </c>
      <c r="Q32" s="49">
        <f t="shared" si="7"/>
        <v>0.66458696935201811</v>
      </c>
      <c r="R32" s="49">
        <f t="shared" si="8"/>
        <v>0.33541303064798195</v>
      </c>
    </row>
    <row r="33" spans="4:18" x14ac:dyDescent="0.3">
      <c r="D33">
        <v>29</v>
      </c>
      <c r="E33" s="2">
        <f t="shared" si="9"/>
        <v>514829.68108063831</v>
      </c>
      <c r="F33" s="2">
        <f t="shared" si="0"/>
        <v>5000</v>
      </c>
      <c r="G33" s="2">
        <f t="shared" si="1"/>
        <v>41586.374486451066</v>
      </c>
      <c r="H33" s="2">
        <f t="shared" si="2"/>
        <v>561416.05556708935</v>
      </c>
      <c r="J33" s="2">
        <f t="shared" si="10"/>
        <v>259831.43149369446</v>
      </c>
      <c r="K33" s="2">
        <f t="shared" si="3"/>
        <v>5000</v>
      </c>
      <c r="L33" s="2">
        <f t="shared" si="4"/>
        <v>10593.257259747777</v>
      </c>
      <c r="M33" s="2">
        <f t="shared" si="5"/>
        <v>275424.6887534422</v>
      </c>
      <c r="O33" s="2">
        <f t="shared" si="6"/>
        <v>836840.74432053161</v>
      </c>
      <c r="Q33" s="49">
        <f t="shared" si="7"/>
        <v>0.67087562284378033</v>
      </c>
      <c r="R33" s="49">
        <f t="shared" si="8"/>
        <v>0.32912437715621962</v>
      </c>
    </row>
    <row r="34" spans="4:18" x14ac:dyDescent="0.3">
      <c r="D34">
        <v>30</v>
      </c>
      <c r="E34" s="2">
        <f t="shared" si="9"/>
        <v>561416.05556708935</v>
      </c>
      <c r="F34" s="2">
        <f t="shared" si="0"/>
        <v>5000</v>
      </c>
      <c r="G34" s="2">
        <f t="shared" si="1"/>
        <v>45313.28444536715</v>
      </c>
      <c r="H34" s="2">
        <f t="shared" si="2"/>
        <v>611729.34001245652</v>
      </c>
      <c r="J34" s="2">
        <f t="shared" si="10"/>
        <v>275424.6887534422</v>
      </c>
      <c r="K34" s="2">
        <f t="shared" si="3"/>
        <v>5000</v>
      </c>
      <c r="L34" s="2">
        <f t="shared" si="4"/>
        <v>11216.987550137688</v>
      </c>
      <c r="M34" s="2">
        <f t="shared" si="5"/>
        <v>291641.67630357988</v>
      </c>
      <c r="O34" s="2">
        <f t="shared" si="6"/>
        <v>903371.01631603646</v>
      </c>
      <c r="Q34" s="49">
        <f t="shared" si="7"/>
        <v>0.67716290313043248</v>
      </c>
      <c r="R34" s="49">
        <f t="shared" si="8"/>
        <v>0.32283709686956746</v>
      </c>
    </row>
    <row r="35" spans="4:18" x14ac:dyDescent="0.3">
      <c r="D35">
        <v>31</v>
      </c>
      <c r="E35" s="2">
        <f t="shared" si="9"/>
        <v>611729.34001245652</v>
      </c>
      <c r="F35" s="2">
        <f t="shared" si="0"/>
        <v>5000</v>
      </c>
      <c r="G35" s="2">
        <f t="shared" si="1"/>
        <v>49338.347200996526</v>
      </c>
      <c r="H35" s="2">
        <f t="shared" si="2"/>
        <v>666067.687213453</v>
      </c>
      <c r="I35" s="26"/>
      <c r="J35" s="2">
        <f t="shared" si="10"/>
        <v>291641.67630357988</v>
      </c>
      <c r="K35" s="2">
        <f t="shared" si="3"/>
        <v>5000</v>
      </c>
      <c r="L35" s="2">
        <f t="shared" si="4"/>
        <v>11865.667052143195</v>
      </c>
      <c r="M35" s="2">
        <f t="shared" si="5"/>
        <v>308507.34335572307</v>
      </c>
      <c r="O35" s="2">
        <f t="shared" si="6"/>
        <v>974575.03056917607</v>
      </c>
      <c r="Q35" s="49">
        <f t="shared" si="7"/>
        <v>0.68344423602198479</v>
      </c>
      <c r="R35" s="49">
        <f t="shared" si="8"/>
        <v>0.31655576397801521</v>
      </c>
    </row>
    <row r="36" spans="4:18" x14ac:dyDescent="0.3">
      <c r="D36">
        <v>32</v>
      </c>
      <c r="E36" s="2">
        <f t="shared" si="9"/>
        <v>666067.687213453</v>
      </c>
      <c r="F36" s="2">
        <f t="shared" si="0"/>
        <v>5000</v>
      </c>
      <c r="G36" s="2">
        <f t="shared" si="1"/>
        <v>53685.414977076238</v>
      </c>
      <c r="H36" s="2">
        <f t="shared" si="2"/>
        <v>724753.10219052923</v>
      </c>
      <c r="I36" s="26"/>
      <c r="J36" s="2">
        <f t="shared" si="10"/>
        <v>308507.34335572307</v>
      </c>
      <c r="K36" s="2">
        <f t="shared" si="3"/>
        <v>5000</v>
      </c>
      <c r="L36" s="2">
        <f t="shared" si="4"/>
        <v>12540.293734228922</v>
      </c>
      <c r="M36" s="2">
        <f t="shared" si="5"/>
        <v>326047.63708995201</v>
      </c>
      <c r="O36" s="2">
        <f t="shared" si="6"/>
        <v>1050800.7392804814</v>
      </c>
      <c r="Q36" s="49">
        <f t="shared" si="7"/>
        <v>0.68971506689916495</v>
      </c>
      <c r="R36" s="49">
        <f t="shared" si="8"/>
        <v>0.31028493310083488</v>
      </c>
    </row>
    <row r="37" spans="4:18" x14ac:dyDescent="0.3">
      <c r="D37">
        <v>33</v>
      </c>
      <c r="E37" s="2">
        <f t="shared" si="9"/>
        <v>724753.10219052923</v>
      </c>
      <c r="F37" s="2">
        <f t="shared" si="0"/>
        <v>5000</v>
      </c>
      <c r="G37" s="2">
        <f t="shared" si="1"/>
        <v>58380.248175242341</v>
      </c>
      <c r="H37" s="2">
        <f t="shared" si="2"/>
        <v>788133.35036577156</v>
      </c>
      <c r="I37" s="26"/>
      <c r="J37" s="2">
        <f t="shared" si="10"/>
        <v>326047.63708995201</v>
      </c>
      <c r="K37" s="2">
        <f t="shared" si="3"/>
        <v>5000</v>
      </c>
      <c r="L37" s="2">
        <f t="shared" si="4"/>
        <v>13241.905483598081</v>
      </c>
      <c r="M37" s="2">
        <f t="shared" si="5"/>
        <v>344289.54257355008</v>
      </c>
      <c r="O37" s="2">
        <f t="shared" si="6"/>
        <v>1132422.8929393217</v>
      </c>
      <c r="Q37" s="49">
        <f t="shared" si="7"/>
        <v>0.69597087384915834</v>
      </c>
      <c r="R37" s="49">
        <f t="shared" si="8"/>
        <v>0.30402912615084166</v>
      </c>
    </row>
    <row r="38" spans="4:18" x14ac:dyDescent="0.3">
      <c r="D38">
        <v>34</v>
      </c>
      <c r="E38" s="2">
        <f t="shared" si="9"/>
        <v>788133.35036577156</v>
      </c>
      <c r="F38" s="2">
        <f t="shared" si="0"/>
        <v>5000</v>
      </c>
      <c r="G38" s="2">
        <f t="shared" si="1"/>
        <v>63450.668029261724</v>
      </c>
      <c r="H38" s="2">
        <f t="shared" si="2"/>
        <v>856584.01839503332</v>
      </c>
      <c r="I38" s="26"/>
      <c r="J38" s="2">
        <f t="shared" si="10"/>
        <v>344289.54257355008</v>
      </c>
      <c r="K38" s="2">
        <f t="shared" si="3"/>
        <v>5000</v>
      </c>
      <c r="L38" s="2">
        <f t="shared" si="4"/>
        <v>13971.581702942003</v>
      </c>
      <c r="M38" s="2">
        <f t="shared" si="5"/>
        <v>363261.1242764921</v>
      </c>
      <c r="O38" s="2">
        <f t="shared" si="6"/>
        <v>1219845.1426715255</v>
      </c>
      <c r="Q38" s="49">
        <f t="shared" si="7"/>
        <v>0.70220718059266851</v>
      </c>
      <c r="R38" s="49">
        <f t="shared" si="8"/>
        <v>0.29779281940733149</v>
      </c>
    </row>
    <row r="39" spans="4:18" x14ac:dyDescent="0.3">
      <c r="D39">
        <v>35</v>
      </c>
      <c r="E39" s="2">
        <f t="shared" si="9"/>
        <v>856584.01839503332</v>
      </c>
      <c r="F39" s="2">
        <f t="shared" si="0"/>
        <v>5000</v>
      </c>
      <c r="G39" s="2">
        <f t="shared" si="1"/>
        <v>68926.721471602665</v>
      </c>
      <c r="H39" s="2">
        <f t="shared" si="2"/>
        <v>930510.73986663599</v>
      </c>
      <c r="I39" s="26"/>
      <c r="J39" s="2">
        <f t="shared" si="10"/>
        <v>363261.1242764921</v>
      </c>
      <c r="K39" s="2">
        <f t="shared" si="3"/>
        <v>5000</v>
      </c>
      <c r="L39" s="2">
        <f t="shared" si="4"/>
        <v>14730.444971059684</v>
      </c>
      <c r="M39" s="2">
        <f t="shared" si="5"/>
        <v>382991.56924755179</v>
      </c>
      <c r="O39" s="2">
        <f t="shared" si="6"/>
        <v>1313502.3091141877</v>
      </c>
      <c r="Q39" s="49">
        <f t="shared" si="7"/>
        <v>0.7084195691244447</v>
      </c>
      <c r="R39" s="49">
        <f t="shared" si="8"/>
        <v>0.29158043087555535</v>
      </c>
    </row>
  </sheetData>
  <mergeCells count="3">
    <mergeCell ref="E3:H3"/>
    <mergeCell ref="J3:M3"/>
    <mergeCell ref="B1:R1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8CB6C-7A1D-4CCB-859D-AAC4DC3CCDBF}">
  <dimension ref="B1:G33"/>
  <sheetViews>
    <sheetView zoomScale="110" zoomScaleNormal="110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G5" sqref="G5"/>
    </sheetView>
  </sheetViews>
  <sheetFormatPr defaultRowHeight="14.4" x14ac:dyDescent="0.3"/>
  <cols>
    <col min="2" max="2" width="46" bestFit="1" customWidth="1"/>
    <col min="4" max="4" width="8.77734375" customWidth="1"/>
    <col min="5" max="5" width="7.33203125" customWidth="1"/>
    <col min="6" max="6" width="10" customWidth="1"/>
    <col min="7" max="7" width="8.88671875" style="41"/>
  </cols>
  <sheetData>
    <row r="1" spans="2:7" x14ac:dyDescent="0.3">
      <c r="C1" s="4"/>
      <c r="D1" s="40" t="s">
        <v>34</v>
      </c>
      <c r="E1" s="40"/>
      <c r="F1" s="40"/>
    </row>
    <row r="2" spans="2:7" ht="15.6" x14ac:dyDescent="0.3">
      <c r="B2" s="39" t="s">
        <v>86</v>
      </c>
      <c r="C2" s="4" t="s">
        <v>88</v>
      </c>
      <c r="D2" s="4" t="s">
        <v>89</v>
      </c>
      <c r="E2" s="4" t="s">
        <v>40</v>
      </c>
      <c r="F2" s="4" t="s">
        <v>49</v>
      </c>
    </row>
    <row r="3" spans="2:7" x14ac:dyDescent="0.3">
      <c r="B3" s="4" t="s">
        <v>44</v>
      </c>
    </row>
    <row r="4" spans="2:7" x14ac:dyDescent="0.3">
      <c r="B4" t="s">
        <v>45</v>
      </c>
    </row>
    <row r="5" spans="2:7" x14ac:dyDescent="0.3">
      <c r="B5" t="s">
        <v>32</v>
      </c>
      <c r="C5" t="s">
        <v>33</v>
      </c>
      <c r="D5">
        <v>200</v>
      </c>
      <c r="E5" t="s">
        <v>41</v>
      </c>
      <c r="F5" t="s">
        <v>50</v>
      </c>
      <c r="G5" s="45" t="s">
        <v>35</v>
      </c>
    </row>
    <row r="6" spans="2:7" x14ac:dyDescent="0.3">
      <c r="B6" t="s">
        <v>36</v>
      </c>
      <c r="C6" t="s">
        <v>33</v>
      </c>
      <c r="D6">
        <v>57</v>
      </c>
      <c r="E6" t="s">
        <v>43</v>
      </c>
      <c r="F6" t="s">
        <v>50</v>
      </c>
      <c r="G6" s="37" t="s">
        <v>37</v>
      </c>
    </row>
    <row r="8" spans="2:7" x14ac:dyDescent="0.3">
      <c r="B8" t="s">
        <v>38</v>
      </c>
      <c r="C8" t="s">
        <v>33</v>
      </c>
      <c r="D8">
        <v>234</v>
      </c>
      <c r="E8" t="s">
        <v>42</v>
      </c>
      <c r="F8" t="s">
        <v>50</v>
      </c>
      <c r="G8" s="37" t="s">
        <v>39</v>
      </c>
    </row>
    <row r="10" spans="2:7" x14ac:dyDescent="0.3">
      <c r="B10" t="s">
        <v>46</v>
      </c>
    </row>
    <row r="11" spans="2:7" x14ac:dyDescent="0.3">
      <c r="B11" t="s">
        <v>77</v>
      </c>
      <c r="C11" t="s">
        <v>48</v>
      </c>
      <c r="D11">
        <v>3513</v>
      </c>
      <c r="E11" t="s">
        <v>47</v>
      </c>
      <c r="F11" t="s">
        <v>51</v>
      </c>
      <c r="G11" s="37" t="s">
        <v>52</v>
      </c>
    </row>
    <row r="12" spans="2:7" x14ac:dyDescent="0.3">
      <c r="B12" t="s">
        <v>78</v>
      </c>
      <c r="C12" t="s">
        <v>48</v>
      </c>
      <c r="D12">
        <v>3674</v>
      </c>
      <c r="E12" t="s">
        <v>53</v>
      </c>
      <c r="F12" t="s">
        <v>51</v>
      </c>
      <c r="G12" s="37" t="s">
        <v>55</v>
      </c>
    </row>
    <row r="14" spans="2:7" x14ac:dyDescent="0.3">
      <c r="B14" t="s">
        <v>54</v>
      </c>
    </row>
    <row r="15" spans="2:7" x14ac:dyDescent="0.3">
      <c r="B15" s="36" t="s">
        <v>57</v>
      </c>
      <c r="C15" t="s">
        <v>58</v>
      </c>
      <c r="D15">
        <v>2455</v>
      </c>
      <c r="E15" t="s">
        <v>56</v>
      </c>
      <c r="F15" t="s">
        <v>51</v>
      </c>
      <c r="G15" s="37" t="s">
        <v>59</v>
      </c>
    </row>
    <row r="17" spans="2:7" x14ac:dyDescent="0.3">
      <c r="B17" t="s">
        <v>60</v>
      </c>
    </row>
    <row r="18" spans="2:7" x14ac:dyDescent="0.3">
      <c r="B18" t="s">
        <v>79</v>
      </c>
      <c r="C18" t="s">
        <v>61</v>
      </c>
      <c r="D18">
        <v>5083</v>
      </c>
      <c r="E18" t="s">
        <v>62</v>
      </c>
      <c r="F18" t="s">
        <v>51</v>
      </c>
      <c r="G18" s="37" t="s">
        <v>63</v>
      </c>
    </row>
    <row r="19" spans="2:7" x14ac:dyDescent="0.3">
      <c r="B19" t="s">
        <v>80</v>
      </c>
      <c r="C19" t="s">
        <v>64</v>
      </c>
      <c r="D19">
        <v>2484</v>
      </c>
      <c r="E19" t="s">
        <v>65</v>
      </c>
      <c r="F19" s="3" t="s">
        <v>51</v>
      </c>
      <c r="G19" s="37" t="s">
        <v>66</v>
      </c>
    </row>
    <row r="21" spans="2:7" x14ac:dyDescent="0.3">
      <c r="B21" s="4" t="s">
        <v>95</v>
      </c>
    </row>
    <row r="22" spans="2:7" x14ac:dyDescent="0.3">
      <c r="B22" t="s">
        <v>81</v>
      </c>
      <c r="C22" t="s">
        <v>69</v>
      </c>
      <c r="D22">
        <v>988</v>
      </c>
      <c r="E22" t="s">
        <v>67</v>
      </c>
      <c r="F22" t="s">
        <v>50</v>
      </c>
      <c r="G22" s="37" t="s">
        <v>71</v>
      </c>
    </row>
    <row r="23" spans="2:7" x14ac:dyDescent="0.3">
      <c r="B23" t="s">
        <v>82</v>
      </c>
      <c r="C23" t="s">
        <v>70</v>
      </c>
      <c r="D23">
        <v>418</v>
      </c>
      <c r="E23" t="s">
        <v>68</v>
      </c>
      <c r="F23" t="s">
        <v>50</v>
      </c>
      <c r="G23" s="37" t="s">
        <v>72</v>
      </c>
    </row>
    <row r="25" spans="2:7" x14ac:dyDescent="0.3">
      <c r="B25" s="38" t="s">
        <v>76</v>
      </c>
      <c r="C25" t="s">
        <v>74</v>
      </c>
      <c r="D25">
        <v>1318</v>
      </c>
      <c r="E25" t="s">
        <v>73</v>
      </c>
      <c r="F25" t="s">
        <v>50</v>
      </c>
      <c r="G25" s="37" t="s">
        <v>75</v>
      </c>
    </row>
    <row r="26" spans="2:7" x14ac:dyDescent="0.3">
      <c r="B26" s="36" t="s">
        <v>84</v>
      </c>
      <c r="C26" t="s">
        <v>74</v>
      </c>
      <c r="D26">
        <v>489</v>
      </c>
      <c r="E26" t="s">
        <v>85</v>
      </c>
      <c r="F26" t="s">
        <v>50</v>
      </c>
      <c r="G26" s="37" t="s">
        <v>83</v>
      </c>
    </row>
    <row r="28" spans="2:7" x14ac:dyDescent="0.3">
      <c r="B28" t="s">
        <v>87</v>
      </c>
    </row>
    <row r="30" spans="2:7" x14ac:dyDescent="0.3">
      <c r="B30" s="4" t="s">
        <v>102</v>
      </c>
    </row>
    <row r="31" spans="2:7" x14ac:dyDescent="0.3">
      <c r="B31" t="s">
        <v>104</v>
      </c>
      <c r="C31" t="s">
        <v>105</v>
      </c>
      <c r="D31">
        <v>250</v>
      </c>
      <c r="E31" t="s">
        <v>106</v>
      </c>
      <c r="F31" t="s">
        <v>50</v>
      </c>
      <c r="G31" s="45" t="s">
        <v>103</v>
      </c>
    </row>
    <row r="32" spans="2:7" x14ac:dyDescent="0.3">
      <c r="B32" t="s">
        <v>107</v>
      </c>
    </row>
    <row r="33" spans="2:2" x14ac:dyDescent="0.3">
      <c r="B33" t="s">
        <v>108</v>
      </c>
    </row>
  </sheetData>
  <hyperlinks>
    <hyperlink ref="G5" r:id="rId1" location="/fundDetail/etf/portId=9561/assetCode=equit" xr:uid="{71378A70-F6E3-495C-9DF1-023D0703F8F1}"/>
    <hyperlink ref="G6" r:id="rId2" location="/fundDetail/etf/portId=9554/assetCode=equity/?overview" display="https://www.vanguardcanada.ca/individual/indv/en/product.html - /fundDetail/etf/portId=9554/assetCode=equity/?overview" xr:uid="{EB478CF2-F9F3-46F8-A950-EC066150CED1}"/>
    <hyperlink ref="G8" r:id="rId3" xr:uid="{F18C5346-50C2-4389-919B-2718DC485C22}"/>
    <hyperlink ref="G11" r:id="rId4" xr:uid="{85FC40C0-D9DA-4C82-A08C-BCD56D54D0F0}"/>
    <hyperlink ref="G12" r:id="rId5" xr:uid="{E511B215-39B9-4E69-AB70-A4722EC9A0B9}"/>
    <hyperlink ref="G15" r:id="rId6" xr:uid="{3347125E-90C6-42C3-9EAF-767FDA380BBA}"/>
    <hyperlink ref="G18" r:id="rId7" xr:uid="{41D2C561-DF2C-4CAC-A81D-72B1548F351F}"/>
    <hyperlink ref="G19" r:id="rId8" xr:uid="{984C4CE9-99F5-4EE8-8ADF-5810DDE3CAC7}"/>
    <hyperlink ref="G22" r:id="rId9" xr:uid="{542CA0B5-1857-480B-A8A0-3070ADB8A2E8}"/>
    <hyperlink ref="G23" r:id="rId10" xr:uid="{1C6CB275-7BAF-42DC-8D1F-E4B84C7715F4}"/>
    <hyperlink ref="G25" r:id="rId11" xr:uid="{34439793-B89E-4B78-BFF5-91654B4808BC}"/>
    <hyperlink ref="G26" r:id="rId12" xr:uid="{3C50EC43-69B1-46B6-9BFE-90434D271A9E}"/>
    <hyperlink ref="G31" r:id="rId13" xr:uid="{B35BCFBA-7061-464C-8A98-9F2C16C1ACC3}"/>
  </hyperlinks>
  <pageMargins left="0.7" right="0.7" top="0.75" bottom="0.75" header="0.3" footer="0.3"/>
  <pageSetup orientation="portrait" horizontalDpi="4294967293" verticalDpi="0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13D7-5417-41FC-8432-EFF75C84DC9E}">
  <dimension ref="D1:I16"/>
  <sheetViews>
    <sheetView zoomScale="130" zoomScaleNormal="130" workbookViewId="0">
      <selection activeCell="E19" sqref="E19"/>
    </sheetView>
  </sheetViews>
  <sheetFormatPr defaultRowHeight="14.4" x14ac:dyDescent="0.3"/>
  <cols>
    <col min="4" max="4" width="12.6640625" customWidth="1"/>
    <col min="5" max="5" width="43.44140625" bestFit="1" customWidth="1"/>
  </cols>
  <sheetData>
    <row r="1" spans="4:9" ht="23.4" x14ac:dyDescent="0.45">
      <c r="D1" s="42" t="s">
        <v>92</v>
      </c>
    </row>
    <row r="2" spans="4:9" ht="23.4" x14ac:dyDescent="0.45">
      <c r="D2" s="42" t="s">
        <v>100</v>
      </c>
    </row>
    <row r="3" spans="4:9" x14ac:dyDescent="0.3">
      <c r="H3" t="s">
        <v>97</v>
      </c>
    </row>
    <row r="4" spans="4:9" x14ac:dyDescent="0.3">
      <c r="F4" t="s">
        <v>98</v>
      </c>
      <c r="G4" t="s">
        <v>96</v>
      </c>
      <c r="H4" t="s">
        <v>98</v>
      </c>
    </row>
    <row r="5" spans="4:9" x14ac:dyDescent="0.3">
      <c r="D5" s="4" t="s">
        <v>44</v>
      </c>
    </row>
    <row r="6" spans="4:9" x14ac:dyDescent="0.3">
      <c r="D6" t="s">
        <v>45</v>
      </c>
      <c r="E6" t="s">
        <v>36</v>
      </c>
      <c r="F6">
        <v>6</v>
      </c>
      <c r="G6" s="20">
        <v>0.19</v>
      </c>
      <c r="H6">
        <f>F6*G6</f>
        <v>1.1400000000000001</v>
      </c>
    </row>
    <row r="7" spans="4:9" x14ac:dyDescent="0.3">
      <c r="D7" t="s">
        <v>46</v>
      </c>
      <c r="E7" t="s">
        <v>78</v>
      </c>
      <c r="F7">
        <v>3</v>
      </c>
      <c r="G7" s="20">
        <v>0.2</v>
      </c>
      <c r="H7">
        <f t="shared" ref="H7:H13" si="0">F7*G7</f>
        <v>0.60000000000000009</v>
      </c>
    </row>
    <row r="8" spans="4:9" x14ac:dyDescent="0.3">
      <c r="D8" t="s">
        <v>93</v>
      </c>
      <c r="E8" s="38" t="s">
        <v>57</v>
      </c>
      <c r="F8">
        <v>7</v>
      </c>
      <c r="G8" s="20">
        <v>0.12</v>
      </c>
      <c r="H8">
        <f t="shared" si="0"/>
        <v>0.84</v>
      </c>
    </row>
    <row r="9" spans="4:9" x14ac:dyDescent="0.3">
      <c r="D9" t="s">
        <v>94</v>
      </c>
      <c r="E9" t="s">
        <v>79</v>
      </c>
      <c r="F9">
        <v>12</v>
      </c>
      <c r="G9" s="20">
        <v>0.04</v>
      </c>
      <c r="H9">
        <f t="shared" si="0"/>
        <v>0.48</v>
      </c>
    </row>
    <row r="11" spans="4:9" x14ac:dyDescent="0.3">
      <c r="D11" s="4" t="s">
        <v>95</v>
      </c>
    </row>
    <row r="12" spans="4:9" x14ac:dyDescent="0.3">
      <c r="D12" t="s">
        <v>45</v>
      </c>
      <c r="E12" t="s">
        <v>81</v>
      </c>
      <c r="F12">
        <v>9</v>
      </c>
      <c r="G12" s="20">
        <v>0.35</v>
      </c>
      <c r="H12">
        <f t="shared" si="0"/>
        <v>3.15</v>
      </c>
    </row>
    <row r="13" spans="4:9" x14ac:dyDescent="0.3">
      <c r="D13" t="s">
        <v>45</v>
      </c>
      <c r="E13" s="38" t="s">
        <v>84</v>
      </c>
      <c r="F13">
        <v>10</v>
      </c>
      <c r="G13" s="43">
        <v>0.1</v>
      </c>
      <c r="H13" s="35">
        <f t="shared" si="0"/>
        <v>1</v>
      </c>
    </row>
    <row r="14" spans="4:9" x14ac:dyDescent="0.3">
      <c r="G14" s="20">
        <f>SUM(G6:G13)</f>
        <v>1</v>
      </c>
      <c r="H14" s="4">
        <f>SUM(H6:H13)</f>
        <v>7.21</v>
      </c>
      <c r="I14" t="s">
        <v>99</v>
      </c>
    </row>
    <row r="15" spans="4:9" x14ac:dyDescent="0.3">
      <c r="E15" s="44" t="s">
        <v>101</v>
      </c>
    </row>
    <row r="16" spans="4:9" x14ac:dyDescent="0.3">
      <c r="D16" s="44">
        <f>H14</f>
        <v>7.21</v>
      </c>
      <c r="E16" s="44" t="s">
        <v>169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9AB6-8D0E-4046-85E0-C19778FF5E50}">
  <dimension ref="B1:AB41"/>
  <sheetViews>
    <sheetView zoomScale="91" zoomScaleNormal="91" workbookViewId="0">
      <pane xSplit="5" ySplit="11" topLeftCell="F24" activePane="bottomRight" state="frozen"/>
      <selection pane="topRight" activeCell="G1" sqref="G1"/>
      <selection pane="bottomLeft" activeCell="A11" sqref="A11"/>
      <selection pane="bottomRight" activeCell="D11" sqref="D11"/>
    </sheetView>
  </sheetViews>
  <sheetFormatPr defaultRowHeight="14.4" x14ac:dyDescent="0.3"/>
  <cols>
    <col min="1" max="1" width="6.21875" customWidth="1"/>
    <col min="2" max="2" width="6.5546875" customWidth="1"/>
    <col min="3" max="3" width="9.33203125" customWidth="1"/>
    <col min="4" max="4" width="10.109375" customWidth="1"/>
    <col min="5" max="5" width="1.44140625" customWidth="1"/>
    <col min="6" max="6" width="5.5546875" customWidth="1"/>
    <col min="7" max="7" width="9.5546875" customWidth="1"/>
    <col min="8" max="11" width="10.33203125" customWidth="1"/>
    <col min="12" max="12" width="9.21875" customWidth="1"/>
    <col min="13" max="14" width="10.33203125" customWidth="1"/>
    <col min="15" max="15" width="1.109375" customWidth="1"/>
    <col min="16" max="16" width="9.44140625" bestFit="1" customWidth="1"/>
    <col min="17" max="17" width="10.33203125" customWidth="1"/>
    <col min="18" max="18" width="2.6640625" customWidth="1"/>
    <col min="19" max="19" width="10.33203125" customWidth="1"/>
    <col min="22" max="22" width="2.21875" customWidth="1"/>
    <col min="25" max="25" width="8.109375" customWidth="1"/>
    <col min="26" max="26" width="8.21875" bestFit="1" customWidth="1"/>
    <col min="27" max="27" width="1.6640625" customWidth="1"/>
  </cols>
  <sheetData>
    <row r="1" spans="2:28" ht="28.8" x14ac:dyDescent="0.55000000000000004">
      <c r="B1" s="96" t="s">
        <v>133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2:28" ht="11.4" customHeight="1" x14ac:dyDescent="0.55000000000000004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2:28" x14ac:dyDescent="0.3">
      <c r="F3" s="100" t="s">
        <v>126</v>
      </c>
      <c r="G3" s="100"/>
      <c r="H3" s="100"/>
      <c r="I3" s="100"/>
      <c r="J3" s="100"/>
      <c r="K3" s="100"/>
      <c r="L3" s="100"/>
      <c r="M3" s="100"/>
      <c r="N3" s="100"/>
      <c r="O3" s="53"/>
      <c r="P3" s="98" t="s">
        <v>131</v>
      </c>
      <c r="Q3" s="98"/>
      <c r="R3" s="98"/>
      <c r="S3" s="98"/>
      <c r="T3" s="98"/>
      <c r="U3" s="98"/>
      <c r="V3" s="55"/>
      <c r="W3" s="99" t="s">
        <v>132</v>
      </c>
      <c r="X3" s="99"/>
      <c r="Y3" s="99"/>
      <c r="Z3" s="99"/>
    </row>
    <row r="4" spans="2:28" x14ac:dyDescent="0.3">
      <c r="B4" s="95" t="s">
        <v>129</v>
      </c>
      <c r="C4" s="95"/>
      <c r="D4" s="95"/>
      <c r="G4" s="4" t="s">
        <v>112</v>
      </c>
      <c r="H4" s="4"/>
      <c r="I4" s="4"/>
      <c r="J4" s="4"/>
      <c r="K4" s="4"/>
      <c r="L4" s="4"/>
      <c r="M4" s="4"/>
      <c r="N4" s="4"/>
      <c r="O4" s="4"/>
      <c r="P4" s="98" t="s">
        <v>139</v>
      </c>
      <c r="Q4" s="98"/>
      <c r="R4" s="98"/>
      <c r="S4" s="98"/>
      <c r="T4" s="98"/>
      <c r="U4" s="98"/>
      <c r="V4" s="29"/>
      <c r="W4" s="4" t="s">
        <v>112</v>
      </c>
      <c r="X4" s="4"/>
      <c r="Y4" s="4"/>
      <c r="Z4" s="4"/>
    </row>
    <row r="5" spans="2:28" x14ac:dyDescent="0.3">
      <c r="C5" s="4" t="s">
        <v>116</v>
      </c>
      <c r="D5" s="4" t="s">
        <v>117</v>
      </c>
      <c r="G5" s="4" t="s">
        <v>113</v>
      </c>
      <c r="I5" s="4"/>
      <c r="J5" s="4" t="s">
        <v>138</v>
      </c>
      <c r="K5" s="4" t="s">
        <v>13</v>
      </c>
      <c r="N5" s="4" t="s">
        <v>137</v>
      </c>
      <c r="T5" s="4"/>
      <c r="U5" s="4" t="s">
        <v>120</v>
      </c>
      <c r="W5" s="4" t="s">
        <v>113</v>
      </c>
      <c r="Y5" s="4"/>
    </row>
    <row r="6" spans="2:28" x14ac:dyDescent="0.3">
      <c r="B6" s="3" t="s">
        <v>115</v>
      </c>
      <c r="C6" s="52">
        <v>10000</v>
      </c>
      <c r="G6" s="4" t="s">
        <v>121</v>
      </c>
      <c r="H6" s="4" t="s">
        <v>119</v>
      </c>
      <c r="I6" s="4"/>
      <c r="J6" s="4" t="s">
        <v>119</v>
      </c>
      <c r="K6" s="4" t="s">
        <v>121</v>
      </c>
      <c r="L6" s="4" t="s">
        <v>118</v>
      </c>
      <c r="M6" s="4"/>
      <c r="N6" s="4" t="s">
        <v>118</v>
      </c>
      <c r="O6" s="4"/>
      <c r="P6" s="97" t="s">
        <v>134</v>
      </c>
      <c r="Q6" s="97"/>
      <c r="R6" s="4"/>
      <c r="T6" s="4"/>
      <c r="U6" s="4" t="s">
        <v>125</v>
      </c>
      <c r="V6" s="4"/>
      <c r="W6" s="4" t="s">
        <v>121</v>
      </c>
      <c r="X6" s="4" t="s">
        <v>118</v>
      </c>
      <c r="Y6" s="4"/>
      <c r="Z6" s="4"/>
    </row>
    <row r="7" spans="2:28" x14ac:dyDescent="0.3">
      <c r="B7" t="s">
        <v>111</v>
      </c>
      <c r="D7" s="1">
        <v>10000</v>
      </c>
      <c r="F7" s="4" t="s">
        <v>5</v>
      </c>
      <c r="G7" s="4" t="s">
        <v>123</v>
      </c>
      <c r="H7" s="4" t="s">
        <v>0</v>
      </c>
      <c r="I7" s="4" t="s">
        <v>1</v>
      </c>
      <c r="J7" s="4" t="s">
        <v>0</v>
      </c>
      <c r="K7" s="4" t="s">
        <v>124</v>
      </c>
      <c r="L7" s="4" t="s">
        <v>0</v>
      </c>
      <c r="M7" s="4" t="s">
        <v>1</v>
      </c>
      <c r="N7" s="4" t="s">
        <v>0</v>
      </c>
      <c r="O7" s="4"/>
      <c r="P7" s="4" t="s">
        <v>111</v>
      </c>
      <c r="Q7" s="4" t="s">
        <v>112</v>
      </c>
      <c r="R7" s="4"/>
      <c r="S7" s="4" t="s">
        <v>119</v>
      </c>
      <c r="T7" s="4" t="s">
        <v>1</v>
      </c>
      <c r="U7" s="4" t="s">
        <v>124</v>
      </c>
      <c r="V7" s="4"/>
      <c r="W7" s="4" t="s">
        <v>124</v>
      </c>
      <c r="X7" s="4" t="s">
        <v>0</v>
      </c>
      <c r="Y7" s="4" t="s">
        <v>1</v>
      </c>
      <c r="Z7" s="4" t="s">
        <v>0</v>
      </c>
      <c r="AB7" s="4"/>
    </row>
    <row r="8" spans="2:28" x14ac:dyDescent="0.3">
      <c r="B8" t="s">
        <v>130</v>
      </c>
      <c r="F8">
        <v>1</v>
      </c>
      <c r="G8" s="2">
        <f t="shared" ref="G8:G35" si="0">$D$9*$D$7</f>
        <v>500</v>
      </c>
      <c r="H8" s="2">
        <f>G8</f>
        <v>500</v>
      </c>
      <c r="I8" s="2">
        <f t="shared" ref="I8:I35" si="1">H8*$D$10</f>
        <v>35</v>
      </c>
      <c r="J8" s="2">
        <f>H8+I8</f>
        <v>535</v>
      </c>
      <c r="K8" s="2">
        <f t="shared" ref="K8:K35" si="2">G8*$D$11</f>
        <v>215</v>
      </c>
      <c r="L8" s="2">
        <f>K8</f>
        <v>215</v>
      </c>
      <c r="M8" s="2">
        <f t="shared" ref="M8:M35" si="3">L8*$D$10</f>
        <v>15.05</v>
      </c>
      <c r="N8" s="2">
        <f>L8+M8</f>
        <v>230.05</v>
      </c>
      <c r="O8" s="2"/>
      <c r="P8" s="52">
        <f>D7</f>
        <v>10000</v>
      </c>
      <c r="Q8" s="2">
        <f t="shared" ref="Q8:Q35" si="4">P8*$D$9</f>
        <v>500</v>
      </c>
      <c r="R8" s="2"/>
      <c r="S8" s="2">
        <v>10000</v>
      </c>
      <c r="T8" s="2">
        <f t="shared" ref="T8:T35" si="5">S8*$D$10</f>
        <v>700.00000000000011</v>
      </c>
      <c r="U8" s="2">
        <f>S8*D11</f>
        <v>4300</v>
      </c>
      <c r="V8" s="57"/>
      <c r="W8" s="2">
        <f>G8</f>
        <v>500</v>
      </c>
      <c r="X8" s="2">
        <f>W8</f>
        <v>500</v>
      </c>
      <c r="Y8" s="2">
        <f t="shared" ref="Y8:Y35" si="6">X8*$D$10</f>
        <v>35</v>
      </c>
      <c r="Z8" s="2">
        <f>SUM(X8:Y8)</f>
        <v>535</v>
      </c>
    </row>
    <row r="9" spans="2:28" x14ac:dyDescent="0.3">
      <c r="B9" t="s">
        <v>110</v>
      </c>
      <c r="D9" s="20">
        <v>0.05</v>
      </c>
      <c r="F9">
        <v>2</v>
      </c>
      <c r="G9" s="2">
        <f t="shared" si="0"/>
        <v>500</v>
      </c>
      <c r="H9" s="2">
        <f>G9+J8</f>
        <v>1035</v>
      </c>
      <c r="I9" s="2">
        <f t="shared" si="1"/>
        <v>72.45</v>
      </c>
      <c r="J9" s="2">
        <f t="shared" ref="J9:J17" si="7">H9+I9</f>
        <v>1107.45</v>
      </c>
      <c r="K9" s="2">
        <f t="shared" si="2"/>
        <v>215</v>
      </c>
      <c r="L9" s="2">
        <f>K9+N8</f>
        <v>445.05</v>
      </c>
      <c r="M9" s="2">
        <f t="shared" si="3"/>
        <v>31.153500000000005</v>
      </c>
      <c r="N9" s="2">
        <f t="shared" ref="N9:N35" si="8">L9+M9</f>
        <v>476.20350000000002</v>
      </c>
      <c r="O9" s="2"/>
      <c r="P9" s="52">
        <f>P8</f>
        <v>10000</v>
      </c>
      <c r="Q9" s="2">
        <f t="shared" si="4"/>
        <v>500</v>
      </c>
      <c r="R9" s="2"/>
      <c r="S9" s="2">
        <f t="shared" ref="S9:S36" si="9">S8+T8</f>
        <v>10700</v>
      </c>
      <c r="T9" s="2">
        <f t="shared" si="5"/>
        <v>749.00000000000011</v>
      </c>
      <c r="U9" s="2">
        <f>U8*(1+$D$10)</f>
        <v>4601</v>
      </c>
      <c r="V9" s="57"/>
      <c r="W9" s="2">
        <f t="shared" ref="W9:W35" si="10">G9</f>
        <v>500</v>
      </c>
      <c r="X9" s="2">
        <f>W9+Z8</f>
        <v>1035</v>
      </c>
      <c r="Y9" s="2">
        <f t="shared" si="6"/>
        <v>72.45</v>
      </c>
      <c r="Z9" s="2">
        <f t="shared" ref="Z9:Z35" si="11">SUM(X9:Y9)</f>
        <v>1107.45</v>
      </c>
    </row>
    <row r="10" spans="2:28" x14ac:dyDescent="0.3">
      <c r="B10" t="s">
        <v>128</v>
      </c>
      <c r="D10" s="20">
        <v>7.0000000000000007E-2</v>
      </c>
      <c r="F10">
        <v>3</v>
      </c>
      <c r="G10" s="2">
        <f t="shared" si="0"/>
        <v>500</v>
      </c>
      <c r="H10" s="2">
        <f t="shared" ref="H10:H35" si="12">G10+J9</f>
        <v>1607.45</v>
      </c>
      <c r="I10" s="2">
        <f t="shared" si="1"/>
        <v>112.52150000000002</v>
      </c>
      <c r="J10" s="2">
        <f t="shared" si="7"/>
        <v>1719.9715000000001</v>
      </c>
      <c r="K10" s="2">
        <f t="shared" si="2"/>
        <v>215</v>
      </c>
      <c r="L10" s="2">
        <f t="shared" ref="L10:L35" si="13">K10+N9</f>
        <v>691.20350000000008</v>
      </c>
      <c r="M10" s="2">
        <f t="shared" si="3"/>
        <v>48.384245000000007</v>
      </c>
      <c r="N10" s="2">
        <f t="shared" si="8"/>
        <v>739.58774500000004</v>
      </c>
      <c r="O10" s="2"/>
      <c r="P10" s="52">
        <f t="shared" ref="P10:P35" si="14">P9</f>
        <v>10000</v>
      </c>
      <c r="Q10" s="2">
        <f t="shared" si="4"/>
        <v>500</v>
      </c>
      <c r="R10" s="2"/>
      <c r="S10" s="2">
        <f t="shared" si="9"/>
        <v>11449</v>
      </c>
      <c r="T10" s="2">
        <f t="shared" si="5"/>
        <v>801.43000000000006</v>
      </c>
      <c r="U10" s="2">
        <f t="shared" ref="U10:U35" si="15">U9*(1+$D$10)</f>
        <v>4923.0700000000006</v>
      </c>
      <c r="V10" s="57"/>
      <c r="W10" s="2">
        <f t="shared" si="10"/>
        <v>500</v>
      </c>
      <c r="X10" s="2">
        <f t="shared" ref="X10:X35" si="16">W10+Z9</f>
        <v>1607.45</v>
      </c>
      <c r="Y10" s="2">
        <f t="shared" si="6"/>
        <v>112.52150000000002</v>
      </c>
      <c r="Z10" s="2">
        <f t="shared" si="11"/>
        <v>1719.9715000000001</v>
      </c>
    </row>
    <row r="11" spans="2:28" x14ac:dyDescent="0.3">
      <c r="B11" t="s">
        <v>122</v>
      </c>
      <c r="D11" s="56">
        <v>0.43</v>
      </c>
      <c r="F11">
        <v>4</v>
      </c>
      <c r="G11" s="2">
        <f t="shared" si="0"/>
        <v>500</v>
      </c>
      <c r="H11" s="2">
        <f t="shared" si="12"/>
        <v>2219.9715000000001</v>
      </c>
      <c r="I11" s="2">
        <f t="shared" si="1"/>
        <v>155.39800500000001</v>
      </c>
      <c r="J11" s="2">
        <f t="shared" si="7"/>
        <v>2375.3695050000001</v>
      </c>
      <c r="K11" s="2">
        <f t="shared" si="2"/>
        <v>215</v>
      </c>
      <c r="L11" s="2">
        <f t="shared" si="13"/>
        <v>954.58774500000004</v>
      </c>
      <c r="M11" s="2">
        <f t="shared" si="3"/>
        <v>66.821142150000014</v>
      </c>
      <c r="N11" s="2">
        <f t="shared" si="8"/>
        <v>1021.4088871500001</v>
      </c>
      <c r="O11" s="2"/>
      <c r="P11" s="52">
        <f t="shared" si="14"/>
        <v>10000</v>
      </c>
      <c r="Q11" s="2">
        <f t="shared" si="4"/>
        <v>500</v>
      </c>
      <c r="R11" s="2"/>
      <c r="S11" s="2">
        <f t="shared" si="9"/>
        <v>12250.43</v>
      </c>
      <c r="T11" s="2">
        <f t="shared" si="5"/>
        <v>857.53010000000006</v>
      </c>
      <c r="U11" s="2">
        <f t="shared" si="15"/>
        <v>5267.6849000000011</v>
      </c>
      <c r="V11" s="57"/>
      <c r="W11" s="2">
        <f t="shared" si="10"/>
        <v>500</v>
      </c>
      <c r="X11" s="2">
        <f t="shared" si="16"/>
        <v>2219.9715000000001</v>
      </c>
      <c r="Y11" s="2">
        <f t="shared" si="6"/>
        <v>155.39800500000001</v>
      </c>
      <c r="Z11" s="2">
        <f t="shared" si="11"/>
        <v>2375.3695050000001</v>
      </c>
    </row>
    <row r="12" spans="2:28" x14ac:dyDescent="0.3">
      <c r="F12">
        <v>5</v>
      </c>
      <c r="G12" s="2">
        <f t="shared" si="0"/>
        <v>500</v>
      </c>
      <c r="H12" s="2">
        <f t="shared" si="12"/>
        <v>2875.3695050000001</v>
      </c>
      <c r="I12" s="2">
        <f t="shared" si="1"/>
        <v>201.27586535000003</v>
      </c>
      <c r="J12" s="2">
        <f t="shared" si="7"/>
        <v>3076.6453703500001</v>
      </c>
      <c r="K12" s="2">
        <f t="shared" si="2"/>
        <v>215</v>
      </c>
      <c r="L12" s="2">
        <f t="shared" si="13"/>
        <v>1236.4088871500001</v>
      </c>
      <c r="M12" s="2">
        <f t="shared" si="3"/>
        <v>86.548622100500012</v>
      </c>
      <c r="N12" s="2">
        <f t="shared" si="8"/>
        <v>1322.9575092505002</v>
      </c>
      <c r="O12" s="2"/>
      <c r="P12" s="52">
        <f t="shared" si="14"/>
        <v>10000</v>
      </c>
      <c r="Q12" s="2">
        <f t="shared" si="4"/>
        <v>500</v>
      </c>
      <c r="R12" s="2"/>
      <c r="S12" s="2">
        <f t="shared" si="9"/>
        <v>13107.9601</v>
      </c>
      <c r="T12" s="2">
        <f t="shared" si="5"/>
        <v>917.55720700000006</v>
      </c>
      <c r="U12" s="2">
        <f t="shared" si="15"/>
        <v>5636.4228430000012</v>
      </c>
      <c r="V12" s="57"/>
      <c r="W12" s="2">
        <f t="shared" si="10"/>
        <v>500</v>
      </c>
      <c r="X12" s="2">
        <f t="shared" si="16"/>
        <v>2875.3695050000001</v>
      </c>
      <c r="Y12" s="2">
        <f t="shared" si="6"/>
        <v>201.27586535000003</v>
      </c>
      <c r="Z12" s="2">
        <f t="shared" si="11"/>
        <v>3076.6453703500001</v>
      </c>
    </row>
    <row r="13" spans="2:28" x14ac:dyDescent="0.3">
      <c r="F13">
        <v>6</v>
      </c>
      <c r="G13" s="2">
        <f t="shared" si="0"/>
        <v>500</v>
      </c>
      <c r="H13" s="2">
        <f t="shared" si="12"/>
        <v>3576.6453703500001</v>
      </c>
      <c r="I13" s="2">
        <f t="shared" si="1"/>
        <v>250.36517592450002</v>
      </c>
      <c r="J13" s="2">
        <f t="shared" si="7"/>
        <v>3827.0105462745</v>
      </c>
      <c r="K13" s="2">
        <f t="shared" si="2"/>
        <v>215</v>
      </c>
      <c r="L13" s="2">
        <f t="shared" si="13"/>
        <v>1537.9575092505002</v>
      </c>
      <c r="M13" s="2">
        <f t="shared" si="3"/>
        <v>107.65702564753502</v>
      </c>
      <c r="N13" s="2">
        <f t="shared" si="8"/>
        <v>1645.6145348980351</v>
      </c>
      <c r="O13" s="2"/>
      <c r="P13" s="52">
        <f t="shared" si="14"/>
        <v>10000</v>
      </c>
      <c r="Q13" s="2">
        <f t="shared" si="4"/>
        <v>500</v>
      </c>
      <c r="R13" s="2"/>
      <c r="S13" s="2">
        <f t="shared" si="9"/>
        <v>14025.517307</v>
      </c>
      <c r="T13" s="2">
        <f t="shared" si="5"/>
        <v>981.78621149000014</v>
      </c>
      <c r="U13" s="2">
        <f t="shared" si="15"/>
        <v>6030.9724420100019</v>
      </c>
      <c r="V13" s="57"/>
      <c r="W13" s="2">
        <f t="shared" si="10"/>
        <v>500</v>
      </c>
      <c r="X13" s="2">
        <f t="shared" si="16"/>
        <v>3576.6453703500001</v>
      </c>
      <c r="Y13" s="2">
        <f t="shared" si="6"/>
        <v>250.36517592450002</v>
      </c>
      <c r="Z13" s="2">
        <f t="shared" si="11"/>
        <v>3827.0105462745</v>
      </c>
    </row>
    <row r="14" spans="2:28" x14ac:dyDescent="0.3">
      <c r="F14">
        <v>7</v>
      </c>
      <c r="G14" s="2">
        <f t="shared" si="0"/>
        <v>500</v>
      </c>
      <c r="H14" s="2">
        <f t="shared" si="12"/>
        <v>4327.0105462744996</v>
      </c>
      <c r="I14" s="2">
        <f t="shared" si="1"/>
        <v>302.89073823921501</v>
      </c>
      <c r="J14" s="2">
        <f t="shared" si="7"/>
        <v>4629.9012845137149</v>
      </c>
      <c r="K14" s="2">
        <f t="shared" si="2"/>
        <v>215</v>
      </c>
      <c r="L14" s="2">
        <f t="shared" si="13"/>
        <v>1860.6145348980351</v>
      </c>
      <c r="M14" s="2">
        <f t="shared" si="3"/>
        <v>130.24301744286248</v>
      </c>
      <c r="N14" s="2">
        <f t="shared" si="8"/>
        <v>1990.8575523408977</v>
      </c>
      <c r="O14" s="2"/>
      <c r="P14" s="52">
        <f t="shared" si="14"/>
        <v>10000</v>
      </c>
      <c r="Q14" s="2">
        <f t="shared" si="4"/>
        <v>500</v>
      </c>
      <c r="R14" s="2"/>
      <c r="S14" s="2">
        <f t="shared" si="9"/>
        <v>15007.30351849</v>
      </c>
      <c r="T14" s="2">
        <f t="shared" si="5"/>
        <v>1050.5112462943</v>
      </c>
      <c r="U14" s="2">
        <f t="shared" si="15"/>
        <v>6453.140512950702</v>
      </c>
      <c r="V14" s="57"/>
      <c r="W14" s="2">
        <f t="shared" si="10"/>
        <v>500</v>
      </c>
      <c r="X14" s="2">
        <f t="shared" si="16"/>
        <v>4327.0105462744996</v>
      </c>
      <c r="Y14" s="2">
        <f t="shared" si="6"/>
        <v>302.89073823921501</v>
      </c>
      <c r="Z14" s="2">
        <f t="shared" si="11"/>
        <v>4629.9012845137149</v>
      </c>
    </row>
    <row r="15" spans="2:28" x14ac:dyDescent="0.3">
      <c r="F15">
        <v>8</v>
      </c>
      <c r="G15" s="2">
        <f t="shared" si="0"/>
        <v>500</v>
      </c>
      <c r="H15" s="2">
        <f t="shared" si="12"/>
        <v>5129.9012845137149</v>
      </c>
      <c r="I15" s="2">
        <f t="shared" si="1"/>
        <v>359.09308991596009</v>
      </c>
      <c r="J15" s="2">
        <f t="shared" si="7"/>
        <v>5488.9943744296752</v>
      </c>
      <c r="K15" s="2">
        <f t="shared" si="2"/>
        <v>215</v>
      </c>
      <c r="L15" s="2">
        <f t="shared" si="13"/>
        <v>2205.8575523408977</v>
      </c>
      <c r="M15" s="2">
        <f t="shared" si="3"/>
        <v>154.41002866386285</v>
      </c>
      <c r="N15" s="2">
        <f t="shared" si="8"/>
        <v>2360.2675810047604</v>
      </c>
      <c r="O15" s="2"/>
      <c r="P15" s="52">
        <f t="shared" si="14"/>
        <v>10000</v>
      </c>
      <c r="Q15" s="2">
        <f t="shared" si="4"/>
        <v>500</v>
      </c>
      <c r="R15" s="2"/>
      <c r="S15" s="2">
        <f t="shared" si="9"/>
        <v>16057.8147647843</v>
      </c>
      <c r="T15" s="2">
        <f t="shared" si="5"/>
        <v>1124.0470335349012</v>
      </c>
      <c r="U15" s="2">
        <f t="shared" si="15"/>
        <v>6904.8603488572517</v>
      </c>
      <c r="V15" s="57"/>
      <c r="W15" s="2">
        <f t="shared" si="10"/>
        <v>500</v>
      </c>
      <c r="X15" s="2">
        <f t="shared" si="16"/>
        <v>5129.9012845137149</v>
      </c>
      <c r="Y15" s="2">
        <f t="shared" si="6"/>
        <v>359.09308991596009</v>
      </c>
      <c r="Z15" s="2">
        <f t="shared" si="11"/>
        <v>5488.9943744296752</v>
      </c>
    </row>
    <row r="16" spans="2:28" x14ac:dyDescent="0.3">
      <c r="F16">
        <v>9</v>
      </c>
      <c r="G16" s="2">
        <f t="shared" si="0"/>
        <v>500</v>
      </c>
      <c r="H16" s="2">
        <f t="shared" si="12"/>
        <v>5988.9943744296752</v>
      </c>
      <c r="I16" s="2">
        <f t="shared" si="1"/>
        <v>419.22960621007729</v>
      </c>
      <c r="J16" s="2">
        <f t="shared" si="7"/>
        <v>6408.2239806397529</v>
      </c>
      <c r="K16" s="2">
        <f t="shared" si="2"/>
        <v>215</v>
      </c>
      <c r="L16" s="2">
        <f t="shared" si="13"/>
        <v>2575.2675810047604</v>
      </c>
      <c r="M16" s="2">
        <f t="shared" si="3"/>
        <v>180.26873067033324</v>
      </c>
      <c r="N16" s="2">
        <f t="shared" si="8"/>
        <v>2755.5363116750937</v>
      </c>
      <c r="O16" s="2"/>
      <c r="P16" s="52">
        <f t="shared" si="14"/>
        <v>10000</v>
      </c>
      <c r="Q16" s="2">
        <f t="shared" si="4"/>
        <v>500</v>
      </c>
      <c r="R16" s="2"/>
      <c r="S16" s="2">
        <f t="shared" si="9"/>
        <v>17181.861798319202</v>
      </c>
      <c r="T16" s="2">
        <f t="shared" si="5"/>
        <v>1202.7303258823442</v>
      </c>
      <c r="U16" s="2">
        <f t="shared" si="15"/>
        <v>7388.2005732772595</v>
      </c>
      <c r="V16" s="57"/>
      <c r="W16" s="2">
        <f t="shared" si="10"/>
        <v>500</v>
      </c>
      <c r="X16" s="2">
        <f t="shared" si="16"/>
        <v>5988.9943744296752</v>
      </c>
      <c r="Y16" s="2">
        <f t="shared" si="6"/>
        <v>419.22960621007729</v>
      </c>
      <c r="Z16" s="2">
        <f t="shared" si="11"/>
        <v>6408.2239806397529</v>
      </c>
    </row>
    <row r="17" spans="6:26" x14ac:dyDescent="0.3">
      <c r="F17">
        <v>10</v>
      </c>
      <c r="G17" s="2">
        <f t="shared" si="0"/>
        <v>500</v>
      </c>
      <c r="H17" s="2">
        <f t="shared" si="12"/>
        <v>6908.2239806397529</v>
      </c>
      <c r="I17" s="2">
        <f t="shared" si="1"/>
        <v>483.57567864478273</v>
      </c>
      <c r="J17" s="2">
        <f t="shared" si="7"/>
        <v>7391.7996592845357</v>
      </c>
      <c r="K17" s="2">
        <f t="shared" si="2"/>
        <v>215</v>
      </c>
      <c r="L17" s="2">
        <f t="shared" si="13"/>
        <v>2970.5363116750937</v>
      </c>
      <c r="M17" s="2">
        <f t="shared" si="3"/>
        <v>207.93754181725657</v>
      </c>
      <c r="N17" s="2">
        <f t="shared" si="8"/>
        <v>3178.4738534923504</v>
      </c>
      <c r="O17" s="2"/>
      <c r="P17" s="52">
        <f t="shared" si="14"/>
        <v>10000</v>
      </c>
      <c r="Q17" s="2">
        <f t="shared" si="4"/>
        <v>500</v>
      </c>
      <c r="R17" s="2"/>
      <c r="S17" s="2">
        <f t="shared" si="9"/>
        <v>18384.592124201547</v>
      </c>
      <c r="T17" s="2">
        <f t="shared" si="5"/>
        <v>1286.9214486941084</v>
      </c>
      <c r="U17" s="2">
        <f t="shared" si="15"/>
        <v>7905.3746134066678</v>
      </c>
      <c r="V17" s="57"/>
      <c r="W17" s="2">
        <f t="shared" si="10"/>
        <v>500</v>
      </c>
      <c r="X17" s="2">
        <f t="shared" si="16"/>
        <v>6908.2239806397529</v>
      </c>
      <c r="Y17" s="2">
        <f t="shared" si="6"/>
        <v>483.57567864478273</v>
      </c>
      <c r="Z17" s="2">
        <f t="shared" si="11"/>
        <v>7391.7996592845357</v>
      </c>
    </row>
    <row r="18" spans="6:26" x14ac:dyDescent="0.3">
      <c r="F18">
        <v>11</v>
      </c>
      <c r="G18" s="2">
        <f t="shared" si="0"/>
        <v>500</v>
      </c>
      <c r="H18" s="2">
        <f t="shared" si="12"/>
        <v>7891.7996592845357</v>
      </c>
      <c r="I18" s="2">
        <f t="shared" si="1"/>
        <v>552.42597614991757</v>
      </c>
      <c r="J18" s="2">
        <f t="shared" ref="J18:J35" si="17">H18+I18</f>
        <v>8444.2256354344536</v>
      </c>
      <c r="K18" s="2">
        <f t="shared" si="2"/>
        <v>215</v>
      </c>
      <c r="L18" s="2">
        <f t="shared" si="13"/>
        <v>3393.4738534923504</v>
      </c>
      <c r="M18" s="2">
        <f t="shared" si="3"/>
        <v>237.54316974446454</v>
      </c>
      <c r="N18" s="2">
        <f t="shared" si="8"/>
        <v>3631.017023236815</v>
      </c>
      <c r="O18" s="2"/>
      <c r="P18" s="52">
        <f t="shared" si="14"/>
        <v>10000</v>
      </c>
      <c r="Q18" s="2">
        <f t="shared" si="4"/>
        <v>500</v>
      </c>
      <c r="R18" s="2"/>
      <c r="S18" s="2">
        <f t="shared" si="9"/>
        <v>19671.513572895656</v>
      </c>
      <c r="T18" s="2">
        <f t="shared" si="5"/>
        <v>1377.005950102696</v>
      </c>
      <c r="U18" s="2">
        <f t="shared" si="15"/>
        <v>8458.7508363451343</v>
      </c>
      <c r="W18" s="2">
        <f t="shared" si="10"/>
        <v>500</v>
      </c>
      <c r="X18" s="2">
        <f t="shared" si="16"/>
        <v>7891.7996592845357</v>
      </c>
      <c r="Y18" s="2">
        <f t="shared" si="6"/>
        <v>552.42597614991757</v>
      </c>
      <c r="Z18" s="2">
        <f t="shared" si="11"/>
        <v>8444.2256354344536</v>
      </c>
    </row>
    <row r="19" spans="6:26" x14ac:dyDescent="0.3">
      <c r="F19">
        <v>12</v>
      </c>
      <c r="G19" s="2">
        <f t="shared" si="0"/>
        <v>500</v>
      </c>
      <c r="H19" s="2">
        <f t="shared" si="12"/>
        <v>8944.2256354344536</v>
      </c>
      <c r="I19" s="2">
        <f t="shared" si="1"/>
        <v>626.09579448041177</v>
      </c>
      <c r="J19" s="2">
        <f t="shared" si="17"/>
        <v>9570.3214299148658</v>
      </c>
      <c r="K19" s="2">
        <f t="shared" si="2"/>
        <v>215</v>
      </c>
      <c r="L19" s="2">
        <f t="shared" si="13"/>
        <v>3846.017023236815</v>
      </c>
      <c r="M19" s="2">
        <f t="shared" si="3"/>
        <v>269.22119162657708</v>
      </c>
      <c r="N19" s="2">
        <f t="shared" si="8"/>
        <v>4115.2382148633924</v>
      </c>
      <c r="P19" s="52">
        <f t="shared" si="14"/>
        <v>10000</v>
      </c>
      <c r="Q19" s="2">
        <f t="shared" si="4"/>
        <v>500</v>
      </c>
      <c r="R19" s="2"/>
      <c r="S19" s="2">
        <f t="shared" si="9"/>
        <v>21048.519522998351</v>
      </c>
      <c r="T19" s="2">
        <f t="shared" si="5"/>
        <v>1473.3963666098848</v>
      </c>
      <c r="U19" s="2">
        <f t="shared" si="15"/>
        <v>9050.8633948892948</v>
      </c>
      <c r="W19" s="2">
        <f t="shared" si="10"/>
        <v>500</v>
      </c>
      <c r="X19" s="2">
        <f t="shared" si="16"/>
        <v>8944.2256354344536</v>
      </c>
      <c r="Y19" s="2">
        <f t="shared" si="6"/>
        <v>626.09579448041177</v>
      </c>
      <c r="Z19" s="2">
        <f t="shared" si="11"/>
        <v>9570.3214299148658</v>
      </c>
    </row>
    <row r="20" spans="6:26" x14ac:dyDescent="0.3">
      <c r="F20">
        <v>13</v>
      </c>
      <c r="G20" s="2">
        <f t="shared" si="0"/>
        <v>500</v>
      </c>
      <c r="H20" s="2">
        <f t="shared" si="12"/>
        <v>10070.321429914866</v>
      </c>
      <c r="I20" s="2">
        <f t="shared" si="1"/>
        <v>704.92250009404063</v>
      </c>
      <c r="J20" s="2">
        <f t="shared" si="17"/>
        <v>10775.243930008906</v>
      </c>
      <c r="K20" s="2">
        <f t="shared" si="2"/>
        <v>215</v>
      </c>
      <c r="L20" s="2">
        <f t="shared" si="13"/>
        <v>4330.2382148633924</v>
      </c>
      <c r="M20" s="2">
        <f t="shared" si="3"/>
        <v>303.11667504043749</v>
      </c>
      <c r="N20" s="2">
        <f t="shared" si="8"/>
        <v>4633.3548899038296</v>
      </c>
      <c r="P20" s="52">
        <f t="shared" si="14"/>
        <v>10000</v>
      </c>
      <c r="Q20" s="2">
        <f t="shared" si="4"/>
        <v>500</v>
      </c>
      <c r="R20" s="2"/>
      <c r="S20" s="2">
        <f t="shared" si="9"/>
        <v>22521.915889608237</v>
      </c>
      <c r="T20" s="2">
        <f t="shared" si="5"/>
        <v>1576.5341122725767</v>
      </c>
      <c r="U20" s="2">
        <f t="shared" si="15"/>
        <v>9684.4238325315455</v>
      </c>
      <c r="W20" s="2">
        <f t="shared" si="10"/>
        <v>500</v>
      </c>
      <c r="X20" s="2">
        <f t="shared" si="16"/>
        <v>10070.321429914866</v>
      </c>
      <c r="Y20" s="2">
        <f t="shared" si="6"/>
        <v>704.92250009404063</v>
      </c>
      <c r="Z20" s="2">
        <f t="shared" si="11"/>
        <v>10775.243930008906</v>
      </c>
    </row>
    <row r="21" spans="6:26" x14ac:dyDescent="0.3">
      <c r="F21">
        <v>14</v>
      </c>
      <c r="G21" s="2">
        <f t="shared" si="0"/>
        <v>500</v>
      </c>
      <c r="H21" s="2">
        <f t="shared" si="12"/>
        <v>11275.243930008906</v>
      </c>
      <c r="I21" s="2">
        <f t="shared" si="1"/>
        <v>789.26707510062352</v>
      </c>
      <c r="J21" s="2">
        <f t="shared" si="17"/>
        <v>12064.511005109529</v>
      </c>
      <c r="K21" s="2">
        <f t="shared" si="2"/>
        <v>215</v>
      </c>
      <c r="L21" s="2">
        <f t="shared" si="13"/>
        <v>4848.3548899038296</v>
      </c>
      <c r="M21" s="2">
        <f t="shared" si="3"/>
        <v>339.38484229326809</v>
      </c>
      <c r="N21" s="2">
        <f t="shared" si="8"/>
        <v>5187.7397321970975</v>
      </c>
      <c r="P21" s="52">
        <f t="shared" si="14"/>
        <v>10000</v>
      </c>
      <c r="Q21" s="2">
        <f t="shared" si="4"/>
        <v>500</v>
      </c>
      <c r="R21" s="2"/>
      <c r="S21" s="2">
        <f t="shared" si="9"/>
        <v>24098.450001880814</v>
      </c>
      <c r="T21" s="2">
        <f t="shared" si="5"/>
        <v>1686.891500131657</v>
      </c>
      <c r="U21" s="2">
        <f t="shared" si="15"/>
        <v>10362.333500808754</v>
      </c>
      <c r="W21" s="2">
        <f t="shared" si="10"/>
        <v>500</v>
      </c>
      <c r="X21" s="2">
        <f t="shared" si="16"/>
        <v>11275.243930008906</v>
      </c>
      <c r="Y21" s="2">
        <f t="shared" si="6"/>
        <v>789.26707510062352</v>
      </c>
      <c r="Z21" s="2">
        <f t="shared" si="11"/>
        <v>12064.511005109529</v>
      </c>
    </row>
    <row r="22" spans="6:26" x14ac:dyDescent="0.3">
      <c r="F22">
        <v>15</v>
      </c>
      <c r="G22" s="2">
        <f t="shared" si="0"/>
        <v>500</v>
      </c>
      <c r="H22" s="2">
        <f t="shared" si="12"/>
        <v>12564.511005109529</v>
      </c>
      <c r="I22" s="2">
        <f t="shared" si="1"/>
        <v>879.51577035766707</v>
      </c>
      <c r="J22" s="2">
        <f t="shared" si="17"/>
        <v>13444.026775467197</v>
      </c>
      <c r="K22" s="2">
        <f t="shared" si="2"/>
        <v>215</v>
      </c>
      <c r="L22" s="2">
        <f t="shared" si="13"/>
        <v>5402.7397321970975</v>
      </c>
      <c r="M22" s="2">
        <f t="shared" si="3"/>
        <v>378.19178125379688</v>
      </c>
      <c r="N22" s="2">
        <f t="shared" si="8"/>
        <v>5780.9315134508943</v>
      </c>
      <c r="P22" s="52">
        <f t="shared" si="14"/>
        <v>10000</v>
      </c>
      <c r="Q22" s="2">
        <f t="shared" si="4"/>
        <v>500</v>
      </c>
      <c r="R22" s="2"/>
      <c r="S22" s="2">
        <f t="shared" si="9"/>
        <v>25785.34150201247</v>
      </c>
      <c r="T22" s="2">
        <f t="shared" si="5"/>
        <v>1804.9739051408731</v>
      </c>
      <c r="U22" s="2">
        <f t="shared" si="15"/>
        <v>11087.696845865368</v>
      </c>
      <c r="W22" s="2">
        <f t="shared" si="10"/>
        <v>500</v>
      </c>
      <c r="X22" s="2">
        <f t="shared" si="16"/>
        <v>12564.511005109529</v>
      </c>
      <c r="Y22" s="2">
        <f t="shared" si="6"/>
        <v>879.51577035766707</v>
      </c>
      <c r="Z22" s="2">
        <f t="shared" si="11"/>
        <v>13444.026775467197</v>
      </c>
    </row>
    <row r="23" spans="6:26" x14ac:dyDescent="0.3">
      <c r="F23">
        <v>16</v>
      </c>
      <c r="G23" s="2">
        <f t="shared" si="0"/>
        <v>500</v>
      </c>
      <c r="H23" s="2">
        <f t="shared" si="12"/>
        <v>13944.026775467197</v>
      </c>
      <c r="I23" s="2">
        <f t="shared" si="1"/>
        <v>976.08187428270389</v>
      </c>
      <c r="J23" s="2">
        <f t="shared" si="17"/>
        <v>14920.1086497499</v>
      </c>
      <c r="K23" s="2">
        <f t="shared" si="2"/>
        <v>215</v>
      </c>
      <c r="L23" s="2">
        <f t="shared" si="13"/>
        <v>5995.9315134508943</v>
      </c>
      <c r="M23" s="2">
        <f t="shared" si="3"/>
        <v>419.71520594156266</v>
      </c>
      <c r="N23" s="2">
        <f t="shared" si="8"/>
        <v>6415.6467193924573</v>
      </c>
      <c r="P23" s="52">
        <f t="shared" si="14"/>
        <v>10000</v>
      </c>
      <c r="Q23" s="2">
        <f t="shared" si="4"/>
        <v>500</v>
      </c>
      <c r="R23" s="2"/>
      <c r="S23" s="2">
        <f t="shared" si="9"/>
        <v>27590.315407153343</v>
      </c>
      <c r="T23" s="2">
        <f t="shared" si="5"/>
        <v>1931.3220785007343</v>
      </c>
      <c r="U23" s="2">
        <f t="shared" si="15"/>
        <v>11863.835625075944</v>
      </c>
      <c r="W23" s="2">
        <f t="shared" si="10"/>
        <v>500</v>
      </c>
      <c r="X23" s="2">
        <f t="shared" si="16"/>
        <v>13944.026775467197</v>
      </c>
      <c r="Y23" s="2">
        <f t="shared" si="6"/>
        <v>976.08187428270389</v>
      </c>
      <c r="Z23" s="2">
        <f t="shared" si="11"/>
        <v>14920.1086497499</v>
      </c>
    </row>
    <row r="24" spans="6:26" x14ac:dyDescent="0.3">
      <c r="F24">
        <v>17</v>
      </c>
      <c r="G24" s="2">
        <f t="shared" si="0"/>
        <v>500</v>
      </c>
      <c r="H24" s="2">
        <f>G24+J23</f>
        <v>15420.1086497499</v>
      </c>
      <c r="I24" s="2">
        <f t="shared" si="1"/>
        <v>1079.4076054824932</v>
      </c>
      <c r="J24" s="2">
        <f t="shared" si="17"/>
        <v>16499.516255232393</v>
      </c>
      <c r="K24" s="2">
        <f t="shared" si="2"/>
        <v>215</v>
      </c>
      <c r="L24" s="2">
        <f t="shared" si="13"/>
        <v>6630.6467193924573</v>
      </c>
      <c r="M24" s="2">
        <f t="shared" si="3"/>
        <v>464.14527035747204</v>
      </c>
      <c r="N24" s="2">
        <f t="shared" si="8"/>
        <v>7094.7919897499296</v>
      </c>
      <c r="P24" s="52">
        <f t="shared" si="14"/>
        <v>10000</v>
      </c>
      <c r="Q24" s="2">
        <f t="shared" si="4"/>
        <v>500</v>
      </c>
      <c r="R24" s="2"/>
      <c r="S24" s="2">
        <f t="shared" si="9"/>
        <v>29521.637485654079</v>
      </c>
      <c r="T24" s="2">
        <f t="shared" si="5"/>
        <v>2066.5146239957858</v>
      </c>
      <c r="U24" s="2">
        <f t="shared" si="15"/>
        <v>12694.304118831262</v>
      </c>
      <c r="W24" s="2">
        <f t="shared" si="10"/>
        <v>500</v>
      </c>
      <c r="X24" s="2">
        <f t="shared" si="16"/>
        <v>15420.1086497499</v>
      </c>
      <c r="Y24" s="2">
        <f t="shared" si="6"/>
        <v>1079.4076054824932</v>
      </c>
      <c r="Z24" s="2">
        <f t="shared" si="11"/>
        <v>16499.516255232393</v>
      </c>
    </row>
    <row r="25" spans="6:26" x14ac:dyDescent="0.3">
      <c r="F25">
        <v>18</v>
      </c>
      <c r="G25" s="2">
        <f t="shared" si="0"/>
        <v>500</v>
      </c>
      <c r="H25" s="2">
        <f t="shared" si="12"/>
        <v>16999.516255232393</v>
      </c>
      <c r="I25" s="2">
        <f t="shared" si="1"/>
        <v>1189.9661378662677</v>
      </c>
      <c r="J25" s="2">
        <f t="shared" si="17"/>
        <v>18189.48239309866</v>
      </c>
      <c r="K25" s="2">
        <f t="shared" si="2"/>
        <v>215</v>
      </c>
      <c r="L25" s="2">
        <f t="shared" si="13"/>
        <v>7309.7919897499296</v>
      </c>
      <c r="M25" s="2">
        <f t="shared" si="3"/>
        <v>511.68543928249511</v>
      </c>
      <c r="N25" s="2">
        <f t="shared" si="8"/>
        <v>7821.4774290324249</v>
      </c>
      <c r="P25" s="52">
        <f t="shared" si="14"/>
        <v>10000</v>
      </c>
      <c r="Q25" s="2">
        <f t="shared" si="4"/>
        <v>500</v>
      </c>
      <c r="R25" s="2"/>
      <c r="S25" s="2">
        <f t="shared" si="9"/>
        <v>31588.152109649865</v>
      </c>
      <c r="T25" s="2">
        <f t="shared" si="5"/>
        <v>2211.1706476754907</v>
      </c>
      <c r="U25" s="2">
        <f t="shared" si="15"/>
        <v>13582.90540714945</v>
      </c>
      <c r="W25" s="2">
        <f t="shared" si="10"/>
        <v>500</v>
      </c>
      <c r="X25" s="2">
        <f t="shared" si="16"/>
        <v>16999.516255232393</v>
      </c>
      <c r="Y25" s="2">
        <f t="shared" si="6"/>
        <v>1189.9661378662677</v>
      </c>
      <c r="Z25" s="2">
        <f t="shared" si="11"/>
        <v>18189.48239309866</v>
      </c>
    </row>
    <row r="26" spans="6:26" x14ac:dyDescent="0.3">
      <c r="F26">
        <v>19</v>
      </c>
      <c r="G26" s="2">
        <f t="shared" si="0"/>
        <v>500</v>
      </c>
      <c r="H26" s="2">
        <f t="shared" si="12"/>
        <v>18689.48239309866</v>
      </c>
      <c r="I26" s="2">
        <f t="shared" si="1"/>
        <v>1308.2637675169065</v>
      </c>
      <c r="J26" s="2">
        <f t="shared" si="17"/>
        <v>19997.746160615567</v>
      </c>
      <c r="K26" s="2">
        <f t="shared" si="2"/>
        <v>215</v>
      </c>
      <c r="L26" s="2">
        <f t="shared" si="13"/>
        <v>8036.4774290324249</v>
      </c>
      <c r="M26" s="2">
        <f t="shared" si="3"/>
        <v>562.55342003226974</v>
      </c>
      <c r="N26" s="2">
        <f t="shared" si="8"/>
        <v>8599.0308490646948</v>
      </c>
      <c r="P26" s="52">
        <f t="shared" si="14"/>
        <v>10000</v>
      </c>
      <c r="Q26" s="2">
        <f t="shared" si="4"/>
        <v>500</v>
      </c>
      <c r="R26" s="2"/>
      <c r="S26" s="2">
        <f t="shared" si="9"/>
        <v>33799.322757325353</v>
      </c>
      <c r="T26" s="2">
        <f t="shared" si="5"/>
        <v>2365.9525930127747</v>
      </c>
      <c r="U26" s="2">
        <f t="shared" si="15"/>
        <v>14533.708785649913</v>
      </c>
      <c r="W26" s="2">
        <f t="shared" si="10"/>
        <v>500</v>
      </c>
      <c r="X26" s="2">
        <f t="shared" si="16"/>
        <v>18689.48239309866</v>
      </c>
      <c r="Y26" s="2">
        <f t="shared" si="6"/>
        <v>1308.2637675169065</v>
      </c>
      <c r="Z26" s="2">
        <f t="shared" si="11"/>
        <v>19997.746160615567</v>
      </c>
    </row>
    <row r="27" spans="6:26" x14ac:dyDescent="0.3">
      <c r="F27">
        <v>20</v>
      </c>
      <c r="G27" s="2">
        <f t="shared" si="0"/>
        <v>500</v>
      </c>
      <c r="H27" s="2">
        <f t="shared" si="12"/>
        <v>20497.746160615567</v>
      </c>
      <c r="I27" s="2">
        <f t="shared" si="1"/>
        <v>1434.8422312430898</v>
      </c>
      <c r="J27" s="2">
        <f t="shared" si="17"/>
        <v>21932.588391858655</v>
      </c>
      <c r="K27" s="2">
        <f t="shared" si="2"/>
        <v>215</v>
      </c>
      <c r="L27" s="2">
        <f t="shared" si="13"/>
        <v>8814.0308490646948</v>
      </c>
      <c r="M27" s="2">
        <f t="shared" si="3"/>
        <v>616.98215943452874</v>
      </c>
      <c r="N27" s="2">
        <f t="shared" si="8"/>
        <v>9431.0130084992234</v>
      </c>
      <c r="P27" s="52">
        <f t="shared" si="14"/>
        <v>10000</v>
      </c>
      <c r="Q27" s="2">
        <f t="shared" si="4"/>
        <v>500</v>
      </c>
      <c r="R27" s="2"/>
      <c r="S27" s="2">
        <f t="shared" si="9"/>
        <v>36165.275350338125</v>
      </c>
      <c r="T27" s="2">
        <f t="shared" si="5"/>
        <v>2531.5692745236688</v>
      </c>
      <c r="U27" s="2">
        <f t="shared" si="15"/>
        <v>15551.068400645408</v>
      </c>
      <c r="W27" s="2">
        <f t="shared" si="10"/>
        <v>500</v>
      </c>
      <c r="X27" s="2">
        <f t="shared" si="16"/>
        <v>20497.746160615567</v>
      </c>
      <c r="Y27" s="2">
        <f t="shared" si="6"/>
        <v>1434.8422312430898</v>
      </c>
      <c r="Z27" s="2">
        <f t="shared" si="11"/>
        <v>21932.588391858655</v>
      </c>
    </row>
    <row r="28" spans="6:26" x14ac:dyDescent="0.3">
      <c r="F28">
        <v>21</v>
      </c>
      <c r="G28" s="2">
        <f t="shared" si="0"/>
        <v>500</v>
      </c>
      <c r="H28" s="2">
        <f t="shared" si="12"/>
        <v>22432.588391858655</v>
      </c>
      <c r="I28" s="2">
        <f t="shared" si="1"/>
        <v>1570.281187430106</v>
      </c>
      <c r="J28" s="2">
        <f t="shared" si="17"/>
        <v>24002.869579288759</v>
      </c>
      <c r="K28" s="2">
        <f t="shared" si="2"/>
        <v>215</v>
      </c>
      <c r="L28" s="2">
        <f t="shared" si="13"/>
        <v>9646.0130084992234</v>
      </c>
      <c r="M28" s="2">
        <f t="shared" si="3"/>
        <v>675.22091059494574</v>
      </c>
      <c r="N28" s="2">
        <f t="shared" si="8"/>
        <v>10321.233919094169</v>
      </c>
      <c r="P28" s="52">
        <f t="shared" si="14"/>
        <v>10000</v>
      </c>
      <c r="Q28" s="2">
        <f t="shared" si="4"/>
        <v>500</v>
      </c>
      <c r="R28" s="2"/>
      <c r="S28" s="2">
        <f t="shared" si="9"/>
        <v>38696.844624861791</v>
      </c>
      <c r="T28" s="2">
        <f t="shared" si="5"/>
        <v>2708.7791237403258</v>
      </c>
      <c r="U28" s="2">
        <f t="shared" si="15"/>
        <v>16639.643188690588</v>
      </c>
      <c r="W28" s="2">
        <f t="shared" si="10"/>
        <v>500</v>
      </c>
      <c r="X28" s="2">
        <f t="shared" si="16"/>
        <v>22432.588391858655</v>
      </c>
      <c r="Y28" s="2">
        <f t="shared" si="6"/>
        <v>1570.281187430106</v>
      </c>
      <c r="Z28" s="2">
        <f t="shared" si="11"/>
        <v>24002.869579288759</v>
      </c>
    </row>
    <row r="29" spans="6:26" x14ac:dyDescent="0.3">
      <c r="F29">
        <v>22</v>
      </c>
      <c r="G29" s="2">
        <f t="shared" si="0"/>
        <v>500</v>
      </c>
      <c r="H29" s="2">
        <f t="shared" si="12"/>
        <v>24502.869579288759</v>
      </c>
      <c r="I29" s="2">
        <f t="shared" si="1"/>
        <v>1715.2008705502133</v>
      </c>
      <c r="J29" s="2">
        <f t="shared" si="17"/>
        <v>26218.070449838971</v>
      </c>
      <c r="K29" s="2">
        <f t="shared" si="2"/>
        <v>215</v>
      </c>
      <c r="L29" s="2">
        <f t="shared" si="13"/>
        <v>10536.233919094169</v>
      </c>
      <c r="M29" s="2">
        <f t="shared" si="3"/>
        <v>737.53637433659196</v>
      </c>
      <c r="N29" s="2">
        <f t="shared" si="8"/>
        <v>11273.770293430762</v>
      </c>
      <c r="P29" s="52">
        <f t="shared" si="14"/>
        <v>10000</v>
      </c>
      <c r="Q29" s="2">
        <f t="shared" si="4"/>
        <v>500</v>
      </c>
      <c r="R29" s="2"/>
      <c r="S29" s="2">
        <f t="shared" si="9"/>
        <v>41405.62374860212</v>
      </c>
      <c r="T29" s="2">
        <f t="shared" si="5"/>
        <v>2898.3936624021485</v>
      </c>
      <c r="U29" s="2">
        <f t="shared" si="15"/>
        <v>17804.41821189893</v>
      </c>
      <c r="W29" s="2">
        <f t="shared" si="10"/>
        <v>500</v>
      </c>
      <c r="X29" s="2">
        <f t="shared" si="16"/>
        <v>24502.869579288759</v>
      </c>
      <c r="Y29" s="2">
        <f t="shared" si="6"/>
        <v>1715.2008705502133</v>
      </c>
      <c r="Z29" s="2">
        <f t="shared" si="11"/>
        <v>26218.070449838971</v>
      </c>
    </row>
    <row r="30" spans="6:26" x14ac:dyDescent="0.3">
      <c r="F30">
        <v>23</v>
      </c>
      <c r="G30" s="2">
        <f t="shared" si="0"/>
        <v>500</v>
      </c>
      <c r="H30" s="2">
        <f t="shared" si="12"/>
        <v>26718.070449838971</v>
      </c>
      <c r="I30" s="2">
        <f t="shared" si="1"/>
        <v>1870.2649314887283</v>
      </c>
      <c r="J30" s="2">
        <f t="shared" si="17"/>
        <v>28588.335381327699</v>
      </c>
      <c r="K30" s="2">
        <f t="shared" si="2"/>
        <v>215</v>
      </c>
      <c r="L30" s="2">
        <f t="shared" si="13"/>
        <v>11488.770293430762</v>
      </c>
      <c r="M30" s="2">
        <f t="shared" si="3"/>
        <v>804.21392054015337</v>
      </c>
      <c r="N30" s="2">
        <f t="shared" si="8"/>
        <v>12292.984213970914</v>
      </c>
      <c r="P30" s="52">
        <f t="shared" si="14"/>
        <v>10000</v>
      </c>
      <c r="Q30" s="2">
        <f t="shared" si="4"/>
        <v>500</v>
      </c>
      <c r="R30" s="2"/>
      <c r="S30" s="2">
        <f t="shared" si="9"/>
        <v>44304.017411004272</v>
      </c>
      <c r="T30" s="2">
        <f t="shared" si="5"/>
        <v>3101.2812187702993</v>
      </c>
      <c r="U30" s="2">
        <f t="shared" si="15"/>
        <v>19050.727486731856</v>
      </c>
      <c r="W30" s="2">
        <f t="shared" si="10"/>
        <v>500</v>
      </c>
      <c r="X30" s="2">
        <f t="shared" si="16"/>
        <v>26718.070449838971</v>
      </c>
      <c r="Y30" s="2">
        <f t="shared" si="6"/>
        <v>1870.2649314887283</v>
      </c>
      <c r="Z30" s="2">
        <f t="shared" si="11"/>
        <v>28588.335381327699</v>
      </c>
    </row>
    <row r="31" spans="6:26" x14ac:dyDescent="0.3">
      <c r="F31">
        <v>24</v>
      </c>
      <c r="G31" s="2">
        <f t="shared" si="0"/>
        <v>500</v>
      </c>
      <c r="H31" s="2">
        <f t="shared" si="12"/>
        <v>29088.335381327699</v>
      </c>
      <c r="I31" s="2">
        <f t="shared" si="1"/>
        <v>2036.1834766929392</v>
      </c>
      <c r="J31" s="2">
        <f t="shared" si="17"/>
        <v>31124.518858020638</v>
      </c>
      <c r="K31" s="2">
        <f t="shared" si="2"/>
        <v>215</v>
      </c>
      <c r="L31" s="2">
        <f t="shared" si="13"/>
        <v>12507.984213970914</v>
      </c>
      <c r="M31" s="2">
        <f t="shared" si="3"/>
        <v>875.55889497796409</v>
      </c>
      <c r="N31" s="2">
        <f t="shared" si="8"/>
        <v>13383.543108948879</v>
      </c>
      <c r="P31" s="52">
        <f t="shared" si="14"/>
        <v>10000</v>
      </c>
      <c r="Q31" s="2">
        <f t="shared" si="4"/>
        <v>500</v>
      </c>
      <c r="R31" s="2"/>
      <c r="S31" s="2">
        <f t="shared" si="9"/>
        <v>47405.298629774574</v>
      </c>
      <c r="T31" s="2">
        <f t="shared" si="5"/>
        <v>3318.3709040842205</v>
      </c>
      <c r="U31" s="2">
        <f t="shared" si="15"/>
        <v>20384.278410803086</v>
      </c>
      <c r="W31" s="2">
        <f t="shared" si="10"/>
        <v>500</v>
      </c>
      <c r="X31" s="2">
        <f t="shared" si="16"/>
        <v>29088.335381327699</v>
      </c>
      <c r="Y31" s="2">
        <f t="shared" si="6"/>
        <v>2036.1834766929392</v>
      </c>
      <c r="Z31" s="2">
        <f t="shared" si="11"/>
        <v>31124.518858020638</v>
      </c>
    </row>
    <row r="32" spans="6:26" x14ac:dyDescent="0.3">
      <c r="F32">
        <v>25</v>
      </c>
      <c r="G32" s="2">
        <f t="shared" si="0"/>
        <v>500</v>
      </c>
      <c r="H32" s="2">
        <f t="shared" si="12"/>
        <v>31624.518858020638</v>
      </c>
      <c r="I32" s="2">
        <f t="shared" si="1"/>
        <v>2213.716320061445</v>
      </c>
      <c r="J32" s="2">
        <f t="shared" si="17"/>
        <v>33838.235178082083</v>
      </c>
      <c r="K32" s="2">
        <f t="shared" si="2"/>
        <v>215</v>
      </c>
      <c r="L32" s="2">
        <f t="shared" si="13"/>
        <v>13598.543108948879</v>
      </c>
      <c r="M32" s="2">
        <f t="shared" si="3"/>
        <v>951.89801762642162</v>
      </c>
      <c r="N32" s="2">
        <f t="shared" si="8"/>
        <v>14550.441126575301</v>
      </c>
      <c r="P32" s="52">
        <f t="shared" si="14"/>
        <v>10000</v>
      </c>
      <c r="Q32" s="2">
        <f t="shared" si="4"/>
        <v>500</v>
      </c>
      <c r="R32" s="2"/>
      <c r="S32" s="2">
        <f t="shared" si="9"/>
        <v>50723.669533858796</v>
      </c>
      <c r="T32" s="2">
        <f t="shared" si="5"/>
        <v>3550.6568673701163</v>
      </c>
      <c r="U32" s="2">
        <f t="shared" si="15"/>
        <v>21811.177899559305</v>
      </c>
      <c r="W32" s="2">
        <f t="shared" si="10"/>
        <v>500</v>
      </c>
      <c r="X32" s="2">
        <f t="shared" si="16"/>
        <v>31624.518858020638</v>
      </c>
      <c r="Y32" s="2">
        <f t="shared" si="6"/>
        <v>2213.716320061445</v>
      </c>
      <c r="Z32" s="2">
        <f t="shared" si="11"/>
        <v>33838.235178082083</v>
      </c>
    </row>
    <row r="33" spans="6:26" x14ac:dyDescent="0.3">
      <c r="F33">
        <v>26</v>
      </c>
      <c r="G33" s="2">
        <f t="shared" si="0"/>
        <v>500</v>
      </c>
      <c r="H33" s="2">
        <f t="shared" si="12"/>
        <v>34338.235178082083</v>
      </c>
      <c r="I33" s="2">
        <f t="shared" si="1"/>
        <v>2403.6764624657462</v>
      </c>
      <c r="J33" s="2">
        <f t="shared" si="17"/>
        <v>36741.911640547827</v>
      </c>
      <c r="K33" s="2">
        <f t="shared" si="2"/>
        <v>215</v>
      </c>
      <c r="L33" s="2">
        <f t="shared" si="13"/>
        <v>14765.441126575301</v>
      </c>
      <c r="M33" s="2">
        <f t="shared" si="3"/>
        <v>1033.5808788602712</v>
      </c>
      <c r="N33" s="2">
        <f t="shared" si="8"/>
        <v>15799.022005435572</v>
      </c>
      <c r="P33" s="52">
        <f>P32</f>
        <v>10000</v>
      </c>
      <c r="Q33" s="2">
        <f t="shared" si="4"/>
        <v>500</v>
      </c>
      <c r="R33" s="2"/>
      <c r="S33" s="2">
        <f t="shared" si="9"/>
        <v>54274.326401228915</v>
      </c>
      <c r="T33" s="2">
        <f t="shared" si="5"/>
        <v>3799.2028480860245</v>
      </c>
      <c r="U33" s="2">
        <f t="shared" si="15"/>
        <v>23337.960352528458</v>
      </c>
      <c r="W33" s="2">
        <f t="shared" si="10"/>
        <v>500</v>
      </c>
      <c r="X33" s="2">
        <f t="shared" si="16"/>
        <v>34338.235178082083</v>
      </c>
      <c r="Y33" s="2">
        <f t="shared" si="6"/>
        <v>2403.6764624657462</v>
      </c>
      <c r="Z33" s="2">
        <f t="shared" si="11"/>
        <v>36741.911640547827</v>
      </c>
    </row>
    <row r="34" spans="6:26" x14ac:dyDescent="0.3">
      <c r="F34">
        <v>27</v>
      </c>
      <c r="G34" s="2">
        <f t="shared" si="0"/>
        <v>500</v>
      </c>
      <c r="H34" s="2">
        <f t="shared" si="12"/>
        <v>37241.911640547827</v>
      </c>
      <c r="I34" s="2">
        <f t="shared" si="1"/>
        <v>2606.9338148383481</v>
      </c>
      <c r="J34" s="2">
        <f t="shared" si="17"/>
        <v>39848.845455386174</v>
      </c>
      <c r="K34" s="2">
        <f t="shared" si="2"/>
        <v>215</v>
      </c>
      <c r="L34" s="2">
        <f t="shared" si="13"/>
        <v>16014.022005435572</v>
      </c>
      <c r="M34" s="2">
        <f t="shared" si="3"/>
        <v>1120.9815403804901</v>
      </c>
      <c r="N34" s="2">
        <f t="shared" si="8"/>
        <v>17135.003545816064</v>
      </c>
      <c r="P34" s="52">
        <f t="shared" si="14"/>
        <v>10000</v>
      </c>
      <c r="Q34" s="2">
        <f t="shared" si="4"/>
        <v>500</v>
      </c>
      <c r="R34" s="2"/>
      <c r="S34" s="2">
        <f t="shared" si="9"/>
        <v>58073.529249314939</v>
      </c>
      <c r="T34" s="2">
        <f t="shared" si="5"/>
        <v>4065.1470474520461</v>
      </c>
      <c r="U34" s="2">
        <f t="shared" si="15"/>
        <v>24971.617577205452</v>
      </c>
      <c r="W34" s="2">
        <f t="shared" si="10"/>
        <v>500</v>
      </c>
      <c r="X34" s="2">
        <f t="shared" si="16"/>
        <v>37241.911640547827</v>
      </c>
      <c r="Y34" s="2">
        <f t="shared" si="6"/>
        <v>2606.9338148383481</v>
      </c>
      <c r="Z34" s="2">
        <f t="shared" si="11"/>
        <v>39848.845455386174</v>
      </c>
    </row>
    <row r="35" spans="6:26" x14ac:dyDescent="0.3">
      <c r="F35">
        <v>28</v>
      </c>
      <c r="G35" s="2">
        <f t="shared" si="0"/>
        <v>500</v>
      </c>
      <c r="H35" s="2">
        <f t="shared" si="12"/>
        <v>40348.845455386174</v>
      </c>
      <c r="I35" s="2">
        <f t="shared" si="1"/>
        <v>2824.4191818770323</v>
      </c>
      <c r="J35" s="58">
        <f t="shared" si="17"/>
        <v>43173.264637263208</v>
      </c>
      <c r="K35" s="2">
        <f t="shared" si="2"/>
        <v>215</v>
      </c>
      <c r="L35" s="2">
        <f t="shared" si="13"/>
        <v>17350.003545816064</v>
      </c>
      <c r="M35" s="2">
        <f t="shared" si="3"/>
        <v>1214.5002482071245</v>
      </c>
      <c r="N35" s="58">
        <f t="shared" si="8"/>
        <v>18564.503794023189</v>
      </c>
      <c r="P35" s="52">
        <f t="shared" si="14"/>
        <v>10000</v>
      </c>
      <c r="Q35" s="54">
        <f t="shared" si="4"/>
        <v>500</v>
      </c>
      <c r="R35" s="2"/>
      <c r="S35" s="61">
        <f t="shared" si="9"/>
        <v>62138.676296766986</v>
      </c>
      <c r="T35" s="2">
        <f t="shared" si="5"/>
        <v>4349.7073407736898</v>
      </c>
      <c r="U35" s="58">
        <f t="shared" si="15"/>
        <v>26719.630807609836</v>
      </c>
      <c r="W35" s="2">
        <f t="shared" si="10"/>
        <v>500</v>
      </c>
      <c r="X35" s="2">
        <f t="shared" si="16"/>
        <v>40348.845455386174</v>
      </c>
      <c r="Y35" s="2">
        <f t="shared" si="6"/>
        <v>2824.4191818770323</v>
      </c>
      <c r="Z35" s="58">
        <f t="shared" si="11"/>
        <v>43173.264637263208</v>
      </c>
    </row>
    <row r="36" spans="6:26" x14ac:dyDescent="0.3">
      <c r="G36" s="2">
        <f>SUM(G8:G35)</f>
        <v>14000</v>
      </c>
      <c r="Q36" s="2">
        <f>SUM(Q8:Q35)</f>
        <v>14000</v>
      </c>
      <c r="S36" s="59">
        <f t="shared" si="9"/>
        <v>66488.383637540683</v>
      </c>
    </row>
    <row r="38" spans="6:26" x14ac:dyDescent="0.3">
      <c r="G38" s="67" t="s">
        <v>114</v>
      </c>
      <c r="H38" s="67" t="s">
        <v>127</v>
      </c>
      <c r="P38" s="66" t="s">
        <v>114</v>
      </c>
      <c r="Q38" s="66" t="s">
        <v>127</v>
      </c>
      <c r="W38" s="65" t="s">
        <v>114</v>
      </c>
      <c r="X38" s="65" t="s">
        <v>127</v>
      </c>
    </row>
    <row r="39" spans="6:26" x14ac:dyDescent="0.3">
      <c r="G39" s="2">
        <f>J35</f>
        <v>43173.264637263208</v>
      </c>
      <c r="H39">
        <v>0</v>
      </c>
      <c r="I39" s="68" t="s">
        <v>135</v>
      </c>
      <c r="P39" s="63">
        <f>S36</f>
        <v>66488.383637540683</v>
      </c>
      <c r="Q39" s="64">
        <f>P35</f>
        <v>10000</v>
      </c>
      <c r="R39" s="68" t="s">
        <v>136</v>
      </c>
      <c r="W39" s="54">
        <f>Z35</f>
        <v>43173.264637263208</v>
      </c>
      <c r="X39" s="60">
        <v>0</v>
      </c>
    </row>
    <row r="40" spans="6:26" x14ac:dyDescent="0.3">
      <c r="G40" s="54">
        <f>N35</f>
        <v>18564.503794023189</v>
      </c>
      <c r="H40" s="35"/>
      <c r="P40" s="54">
        <f>U35</f>
        <v>26719.630807609836</v>
      </c>
      <c r="Q40" s="35"/>
      <c r="W40" s="58">
        <f>W39-X39</f>
        <v>43173.264637263208</v>
      </c>
    </row>
    <row r="41" spans="6:26" x14ac:dyDescent="0.3">
      <c r="G41" s="58">
        <f>SUM(G39:G40)</f>
        <v>61737.7684312864</v>
      </c>
      <c r="P41" s="59">
        <f>P39+P40-Q39</f>
        <v>83208.014445150518</v>
      </c>
    </row>
  </sheetData>
  <mergeCells count="7">
    <mergeCell ref="B4:D4"/>
    <mergeCell ref="B1:Z1"/>
    <mergeCell ref="P6:Q6"/>
    <mergeCell ref="P3:U3"/>
    <mergeCell ref="P4:U4"/>
    <mergeCell ref="W3:Z3"/>
    <mergeCell ref="F3:N3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0E4B-80D4-4833-915F-64751A932C40}">
  <dimension ref="B1:W40"/>
  <sheetViews>
    <sheetView zoomScaleNormal="100" workbookViewId="0">
      <pane xSplit="5" ySplit="14" topLeftCell="F29" activePane="bottomRight" state="frozen"/>
      <selection pane="topRight" activeCell="F1" sqref="F1"/>
      <selection pane="bottomLeft" activeCell="A15" sqref="A15"/>
      <selection pane="bottomRight" activeCell="K18" sqref="K18"/>
    </sheetView>
  </sheetViews>
  <sheetFormatPr defaultRowHeight="14.4" x14ac:dyDescent="0.3"/>
  <cols>
    <col min="4" max="4" width="10" customWidth="1"/>
    <col min="5" max="5" width="1.5546875" customWidth="1"/>
    <col min="6" max="6" width="5.21875" customWidth="1"/>
    <col min="7" max="7" width="10.6640625" customWidth="1"/>
    <col min="8" max="8" width="10" bestFit="1" customWidth="1"/>
    <col min="12" max="12" width="1.33203125" customWidth="1"/>
    <col min="23" max="23" width="7.5546875" customWidth="1"/>
  </cols>
  <sheetData>
    <row r="1" spans="2:23" ht="21" x14ac:dyDescent="0.4">
      <c r="B1" s="33" t="s">
        <v>140</v>
      </c>
      <c r="G1" s="102" t="s">
        <v>165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S1" s="101" t="s">
        <v>118</v>
      </c>
      <c r="T1" s="101"/>
      <c r="U1" s="101"/>
      <c r="V1" s="101"/>
      <c r="W1" s="101"/>
    </row>
    <row r="2" spans="2:23" x14ac:dyDescent="0.3">
      <c r="O2" s="4" t="s">
        <v>150</v>
      </c>
      <c r="P2" s="4" t="s">
        <v>150</v>
      </c>
      <c r="Q2" s="4" t="s">
        <v>120</v>
      </c>
    </row>
    <row r="3" spans="2:23" x14ac:dyDescent="0.3">
      <c r="F3" s="4"/>
      <c r="G3" s="4"/>
      <c r="H3" s="4" t="s">
        <v>146</v>
      </c>
      <c r="I3" s="4"/>
      <c r="J3" s="4"/>
      <c r="K3" s="4" t="s">
        <v>147</v>
      </c>
      <c r="L3" s="4"/>
      <c r="M3" s="4" t="s">
        <v>112</v>
      </c>
      <c r="N3" s="4" t="s">
        <v>13</v>
      </c>
      <c r="O3" s="4" t="s">
        <v>112</v>
      </c>
      <c r="P3" s="4" t="s">
        <v>112</v>
      </c>
      <c r="Q3" s="4" t="s">
        <v>153</v>
      </c>
      <c r="S3" s="4"/>
      <c r="T3" s="4" t="s">
        <v>146</v>
      </c>
      <c r="U3" s="4"/>
      <c r="V3" s="4"/>
      <c r="W3" s="4" t="s">
        <v>112</v>
      </c>
    </row>
    <row r="4" spans="2:23" x14ac:dyDescent="0.3">
      <c r="B4" s="4" t="s">
        <v>130</v>
      </c>
      <c r="F4" s="4" t="s">
        <v>5</v>
      </c>
      <c r="G4" s="4" t="s">
        <v>143</v>
      </c>
      <c r="H4" s="4" t="s">
        <v>145</v>
      </c>
      <c r="I4" s="4" t="s">
        <v>1</v>
      </c>
      <c r="J4" s="4" t="s">
        <v>143</v>
      </c>
      <c r="K4" s="4" t="s">
        <v>148</v>
      </c>
      <c r="L4" s="4"/>
      <c r="M4" s="4" t="s">
        <v>88</v>
      </c>
      <c r="N4" s="4" t="s">
        <v>121</v>
      </c>
      <c r="O4" s="4" t="s">
        <v>88</v>
      </c>
      <c r="P4" s="4" t="s">
        <v>151</v>
      </c>
      <c r="Q4" s="4" t="s">
        <v>145</v>
      </c>
      <c r="S4" s="4" t="s">
        <v>143</v>
      </c>
      <c r="T4" s="4" t="s">
        <v>145</v>
      </c>
      <c r="U4" s="4" t="s">
        <v>1</v>
      </c>
      <c r="V4" s="4" t="s">
        <v>143</v>
      </c>
      <c r="W4" s="4" t="s">
        <v>88</v>
      </c>
    </row>
    <row r="5" spans="2:23" x14ac:dyDescent="0.3">
      <c r="F5">
        <v>1</v>
      </c>
      <c r="G5" s="21">
        <f>D6</f>
        <v>25000</v>
      </c>
      <c r="H5" s="21">
        <f t="shared" ref="H5:H29" si="0">G5*$D$10</f>
        <v>625</v>
      </c>
      <c r="I5" s="21">
        <f t="shared" ref="I5:I29" si="1">G5*$D$11</f>
        <v>1000</v>
      </c>
      <c r="J5" s="21">
        <f>G5+H5+I5</f>
        <v>26625</v>
      </c>
      <c r="K5" s="21">
        <f>$D$6+H5</f>
        <v>25625</v>
      </c>
      <c r="L5" s="21"/>
      <c r="M5" s="21">
        <f t="shared" ref="M5:M29" si="2">$D$6*$D$7</f>
        <v>1125</v>
      </c>
      <c r="N5" s="21">
        <f t="shared" ref="N5:N30" si="3">M5*$D$13</f>
        <v>483.75</v>
      </c>
      <c r="O5" s="21">
        <f>M5-N5</f>
        <v>641.25</v>
      </c>
      <c r="P5" s="71">
        <f t="shared" ref="P5:P29" si="4">(1-$D$13)*$D$7</f>
        <v>2.5650000000000003E-2</v>
      </c>
      <c r="Q5" s="21">
        <f t="shared" ref="Q5:Q29" si="5">H5*$D$14</f>
        <v>156.25</v>
      </c>
      <c r="S5" s="21">
        <f>G5</f>
        <v>25000</v>
      </c>
      <c r="T5" s="21">
        <f>H5</f>
        <v>625</v>
      </c>
      <c r="U5" s="21">
        <f>I5</f>
        <v>1000</v>
      </c>
      <c r="V5" s="21">
        <f>SUM(S5:U5)</f>
        <v>26625</v>
      </c>
      <c r="W5" s="21">
        <f t="shared" ref="W5:W29" si="6">$D$6*$D$7</f>
        <v>1125</v>
      </c>
    </row>
    <row r="6" spans="2:23" x14ac:dyDescent="0.3">
      <c r="B6" t="s">
        <v>141</v>
      </c>
      <c r="D6" s="69">
        <v>25000</v>
      </c>
      <c r="F6">
        <v>2</v>
      </c>
      <c r="G6" s="21">
        <f>J5</f>
        <v>26625</v>
      </c>
      <c r="H6" s="21">
        <f t="shared" si="0"/>
        <v>665.625</v>
      </c>
      <c r="I6" s="21">
        <f t="shared" si="1"/>
        <v>1065</v>
      </c>
      <c r="J6" s="21">
        <f>G6+H6+I6</f>
        <v>28355.625</v>
      </c>
      <c r="K6" s="21">
        <f>K5+H6</f>
        <v>26290.625</v>
      </c>
      <c r="L6" s="21"/>
      <c r="M6" s="21">
        <f t="shared" si="2"/>
        <v>1125</v>
      </c>
      <c r="N6" s="21">
        <f t="shared" si="3"/>
        <v>483.75</v>
      </c>
      <c r="O6" s="21">
        <f t="shared" ref="O6:O30" si="7">M6-N6</f>
        <v>641.25</v>
      </c>
      <c r="P6" s="71">
        <f t="shared" si="4"/>
        <v>2.5650000000000003E-2</v>
      </c>
      <c r="Q6" s="21">
        <f t="shared" si="5"/>
        <v>166.40625</v>
      </c>
      <c r="S6" s="21">
        <f>V5</f>
        <v>26625</v>
      </c>
      <c r="T6" s="21">
        <f t="shared" ref="T6:T29" si="8">S6*$D$10</f>
        <v>665.625</v>
      </c>
      <c r="U6" s="21">
        <f t="shared" ref="U6:U29" si="9">S6*$D$11</f>
        <v>1065</v>
      </c>
      <c r="V6" s="21">
        <f>SUM(S6:U6)</f>
        <v>28355.625</v>
      </c>
      <c r="W6" s="21">
        <f t="shared" si="6"/>
        <v>1125</v>
      </c>
    </row>
    <row r="7" spans="2:23" x14ac:dyDescent="0.3">
      <c r="B7" t="s">
        <v>149</v>
      </c>
      <c r="D7" s="70">
        <v>4.4999999999999998E-2</v>
      </c>
      <c r="F7">
        <v>3</v>
      </c>
      <c r="G7" s="21">
        <f t="shared" ref="G7:G29" si="10">J6</f>
        <v>28355.625</v>
      </c>
      <c r="H7" s="21">
        <f t="shared" si="0"/>
        <v>708.890625</v>
      </c>
      <c r="I7" s="21">
        <f t="shared" si="1"/>
        <v>1134.2250000000001</v>
      </c>
      <c r="J7" s="21">
        <f t="shared" ref="J7:J29" si="11">G7+H7+I7</f>
        <v>30198.740624999999</v>
      </c>
      <c r="K7" s="21">
        <f t="shared" ref="K7:K29" si="12">K6+H7</f>
        <v>26999.515625</v>
      </c>
      <c r="L7" s="21"/>
      <c r="M7" s="21">
        <f t="shared" si="2"/>
        <v>1125</v>
      </c>
      <c r="N7" s="21">
        <f t="shared" si="3"/>
        <v>483.75</v>
      </c>
      <c r="O7" s="21">
        <f t="shared" si="7"/>
        <v>641.25</v>
      </c>
      <c r="P7" s="71">
        <f t="shared" si="4"/>
        <v>2.5650000000000003E-2</v>
      </c>
      <c r="Q7" s="21">
        <f t="shared" si="5"/>
        <v>177.22265625</v>
      </c>
      <c r="S7" s="21">
        <f t="shared" ref="S7:S29" si="13">V6</f>
        <v>28355.625</v>
      </c>
      <c r="T7" s="21">
        <f t="shared" si="8"/>
        <v>708.890625</v>
      </c>
      <c r="U7" s="21">
        <f t="shared" si="9"/>
        <v>1134.2250000000001</v>
      </c>
      <c r="V7" s="21">
        <f t="shared" ref="V7:V29" si="14">SUM(S7:U7)</f>
        <v>30198.740624999999</v>
      </c>
      <c r="W7" s="21">
        <f t="shared" si="6"/>
        <v>1125</v>
      </c>
    </row>
    <row r="8" spans="2:23" x14ac:dyDescent="0.3">
      <c r="F8">
        <v>4</v>
      </c>
      <c r="G8" s="21">
        <f t="shared" si="10"/>
        <v>30198.740624999999</v>
      </c>
      <c r="H8" s="21">
        <f t="shared" si="0"/>
        <v>754.96851562500001</v>
      </c>
      <c r="I8" s="21">
        <f t="shared" si="1"/>
        <v>1207.949625</v>
      </c>
      <c r="J8" s="21">
        <f t="shared" si="11"/>
        <v>32161.658765625001</v>
      </c>
      <c r="K8" s="21">
        <f t="shared" si="12"/>
        <v>27754.484140625002</v>
      </c>
      <c r="L8" s="21"/>
      <c r="M8" s="21">
        <f t="shared" si="2"/>
        <v>1125</v>
      </c>
      <c r="N8" s="21">
        <f t="shared" si="3"/>
        <v>483.75</v>
      </c>
      <c r="O8" s="21">
        <f t="shared" si="7"/>
        <v>641.25</v>
      </c>
      <c r="P8" s="71">
        <f t="shared" si="4"/>
        <v>2.5650000000000003E-2</v>
      </c>
      <c r="Q8" s="21">
        <f t="shared" si="5"/>
        <v>188.74212890625</v>
      </c>
      <c r="S8" s="21">
        <f t="shared" si="13"/>
        <v>30198.740624999999</v>
      </c>
      <c r="T8" s="21">
        <f t="shared" si="8"/>
        <v>754.96851562500001</v>
      </c>
      <c r="U8" s="21">
        <f t="shared" si="9"/>
        <v>1207.949625</v>
      </c>
      <c r="V8" s="21">
        <f t="shared" si="14"/>
        <v>32161.658765625001</v>
      </c>
      <c r="W8" s="21">
        <f t="shared" si="6"/>
        <v>1125</v>
      </c>
    </row>
    <row r="9" spans="2:23" x14ac:dyDescent="0.3">
      <c r="B9" t="s">
        <v>144</v>
      </c>
      <c r="D9" s="20"/>
      <c r="F9">
        <v>5</v>
      </c>
      <c r="G9" s="21">
        <f t="shared" si="10"/>
        <v>32161.658765625001</v>
      </c>
      <c r="H9" s="21">
        <f t="shared" si="0"/>
        <v>804.04146914062505</v>
      </c>
      <c r="I9" s="21">
        <f t="shared" si="1"/>
        <v>1286.4663506250001</v>
      </c>
      <c r="J9" s="21">
        <f t="shared" si="11"/>
        <v>34252.166585390623</v>
      </c>
      <c r="K9" s="21">
        <f t="shared" si="12"/>
        <v>28558.525609765627</v>
      </c>
      <c r="L9" s="21"/>
      <c r="M9" s="21">
        <f t="shared" si="2"/>
        <v>1125</v>
      </c>
      <c r="N9" s="21">
        <f t="shared" si="3"/>
        <v>483.75</v>
      </c>
      <c r="O9" s="21">
        <f t="shared" si="7"/>
        <v>641.25</v>
      </c>
      <c r="P9" s="71">
        <f t="shared" si="4"/>
        <v>2.5650000000000003E-2</v>
      </c>
      <c r="Q9" s="21">
        <f t="shared" si="5"/>
        <v>201.01036728515626</v>
      </c>
      <c r="S9" s="21">
        <f t="shared" si="13"/>
        <v>32161.658765625001</v>
      </c>
      <c r="T9" s="21">
        <f t="shared" si="8"/>
        <v>804.04146914062505</v>
      </c>
      <c r="U9" s="21">
        <f t="shared" si="9"/>
        <v>1286.4663506250001</v>
      </c>
      <c r="V9" s="21">
        <f t="shared" si="14"/>
        <v>34252.166585390623</v>
      </c>
      <c r="W9" s="21">
        <f t="shared" si="6"/>
        <v>1125</v>
      </c>
    </row>
    <row r="10" spans="2:23" x14ac:dyDescent="0.3">
      <c r="B10" t="s">
        <v>145</v>
      </c>
      <c r="D10" s="11">
        <v>2.5000000000000001E-2</v>
      </c>
      <c r="F10">
        <v>6</v>
      </c>
      <c r="G10" s="21">
        <f t="shared" si="10"/>
        <v>34252.166585390623</v>
      </c>
      <c r="H10" s="21">
        <f t="shared" si="0"/>
        <v>856.30416463476558</v>
      </c>
      <c r="I10" s="21">
        <f t="shared" si="1"/>
        <v>1370.086663415625</v>
      </c>
      <c r="J10" s="21">
        <f t="shared" si="11"/>
        <v>36478.557413441013</v>
      </c>
      <c r="K10" s="21">
        <f t="shared" si="12"/>
        <v>29414.829774400394</v>
      </c>
      <c r="L10" s="21"/>
      <c r="M10" s="21">
        <f t="shared" si="2"/>
        <v>1125</v>
      </c>
      <c r="N10" s="21">
        <f t="shared" si="3"/>
        <v>483.75</v>
      </c>
      <c r="O10" s="21">
        <f t="shared" si="7"/>
        <v>641.25</v>
      </c>
      <c r="P10" s="71">
        <f t="shared" si="4"/>
        <v>2.5650000000000003E-2</v>
      </c>
      <c r="Q10" s="21">
        <f t="shared" si="5"/>
        <v>214.0760411586914</v>
      </c>
      <c r="S10" s="21">
        <f t="shared" si="13"/>
        <v>34252.166585390623</v>
      </c>
      <c r="T10" s="21">
        <f t="shared" si="8"/>
        <v>856.30416463476558</v>
      </c>
      <c r="U10" s="21">
        <f t="shared" si="9"/>
        <v>1370.086663415625</v>
      </c>
      <c r="V10" s="21">
        <f t="shared" si="14"/>
        <v>36478.557413441013</v>
      </c>
      <c r="W10" s="21">
        <f t="shared" si="6"/>
        <v>1125</v>
      </c>
    </row>
    <row r="11" spans="2:23" x14ac:dyDescent="0.3">
      <c r="B11" t="s">
        <v>1</v>
      </c>
      <c r="D11" s="20">
        <v>0.04</v>
      </c>
      <c r="F11">
        <v>7</v>
      </c>
      <c r="G11" s="21">
        <f t="shared" si="10"/>
        <v>36478.557413441013</v>
      </c>
      <c r="H11" s="21">
        <f t="shared" si="0"/>
        <v>911.96393533602532</v>
      </c>
      <c r="I11" s="21">
        <f t="shared" si="1"/>
        <v>1459.1422965376405</v>
      </c>
      <c r="J11" s="21">
        <f t="shared" si="11"/>
        <v>38849.663645314678</v>
      </c>
      <c r="K11" s="21">
        <f t="shared" si="12"/>
        <v>30326.793709736419</v>
      </c>
      <c r="L11" s="21"/>
      <c r="M11" s="21">
        <f t="shared" si="2"/>
        <v>1125</v>
      </c>
      <c r="N11" s="21">
        <f t="shared" si="3"/>
        <v>483.75</v>
      </c>
      <c r="O11" s="21">
        <f t="shared" si="7"/>
        <v>641.25</v>
      </c>
      <c r="P11" s="71">
        <f t="shared" si="4"/>
        <v>2.5650000000000003E-2</v>
      </c>
      <c r="Q11" s="21">
        <f t="shared" si="5"/>
        <v>227.99098383400633</v>
      </c>
      <c r="S11" s="21">
        <f t="shared" si="13"/>
        <v>36478.557413441013</v>
      </c>
      <c r="T11" s="21">
        <f t="shared" si="8"/>
        <v>911.96393533602532</v>
      </c>
      <c r="U11" s="21">
        <f t="shared" si="9"/>
        <v>1459.1422965376405</v>
      </c>
      <c r="V11" s="21">
        <f t="shared" si="14"/>
        <v>38849.663645314678</v>
      </c>
      <c r="W11" s="21">
        <f t="shared" si="6"/>
        <v>1125</v>
      </c>
    </row>
    <row r="12" spans="2:23" x14ac:dyDescent="0.3">
      <c r="F12">
        <v>8</v>
      </c>
      <c r="G12" s="21">
        <f t="shared" si="10"/>
        <v>38849.663645314678</v>
      </c>
      <c r="H12" s="21">
        <f t="shared" si="0"/>
        <v>971.24159113286703</v>
      </c>
      <c r="I12" s="21">
        <f t="shared" si="1"/>
        <v>1553.9865458125871</v>
      </c>
      <c r="J12" s="21">
        <f t="shared" si="11"/>
        <v>41374.891782260129</v>
      </c>
      <c r="K12" s="21">
        <f t="shared" si="12"/>
        <v>31298.035300869287</v>
      </c>
      <c r="L12" s="21"/>
      <c r="M12" s="21">
        <f t="shared" si="2"/>
        <v>1125</v>
      </c>
      <c r="N12" s="21">
        <f t="shared" si="3"/>
        <v>483.75</v>
      </c>
      <c r="O12" s="21">
        <f t="shared" si="7"/>
        <v>641.25</v>
      </c>
      <c r="P12" s="71">
        <f t="shared" si="4"/>
        <v>2.5650000000000003E-2</v>
      </c>
      <c r="Q12" s="21">
        <f t="shared" si="5"/>
        <v>242.81039778321676</v>
      </c>
      <c r="S12" s="21">
        <f t="shared" si="13"/>
        <v>38849.663645314678</v>
      </c>
      <c r="T12" s="21">
        <f t="shared" si="8"/>
        <v>971.24159113286703</v>
      </c>
      <c r="U12" s="21">
        <f t="shared" si="9"/>
        <v>1553.9865458125871</v>
      </c>
      <c r="V12" s="21">
        <f t="shared" si="14"/>
        <v>41374.891782260129</v>
      </c>
      <c r="W12" s="21">
        <f t="shared" si="6"/>
        <v>1125</v>
      </c>
    </row>
    <row r="13" spans="2:23" x14ac:dyDescent="0.3">
      <c r="B13" t="s">
        <v>142</v>
      </c>
      <c r="D13" s="20">
        <v>0.43</v>
      </c>
      <c r="F13">
        <v>9</v>
      </c>
      <c r="G13" s="21">
        <f t="shared" si="10"/>
        <v>41374.891782260129</v>
      </c>
      <c r="H13" s="21">
        <f t="shared" si="0"/>
        <v>1034.3722945565032</v>
      </c>
      <c r="I13" s="21">
        <f t="shared" si="1"/>
        <v>1654.9956712904052</v>
      </c>
      <c r="J13" s="21">
        <f t="shared" si="11"/>
        <v>44064.259748107033</v>
      </c>
      <c r="K13" s="21">
        <f t="shared" si="12"/>
        <v>32332.40759542579</v>
      </c>
      <c r="L13" s="21"/>
      <c r="M13" s="21">
        <f t="shared" si="2"/>
        <v>1125</v>
      </c>
      <c r="N13" s="21">
        <f t="shared" si="3"/>
        <v>483.75</v>
      </c>
      <c r="O13" s="21">
        <f t="shared" si="7"/>
        <v>641.25</v>
      </c>
      <c r="P13" s="71">
        <f t="shared" si="4"/>
        <v>2.5650000000000003E-2</v>
      </c>
      <c r="Q13" s="21">
        <f t="shared" si="5"/>
        <v>258.59307363912581</v>
      </c>
      <c r="S13" s="21">
        <f t="shared" si="13"/>
        <v>41374.891782260129</v>
      </c>
      <c r="T13" s="21">
        <f t="shared" si="8"/>
        <v>1034.3722945565032</v>
      </c>
      <c r="U13" s="21">
        <f t="shared" si="9"/>
        <v>1654.9956712904052</v>
      </c>
      <c r="V13" s="21">
        <f t="shared" si="14"/>
        <v>44064.259748107033</v>
      </c>
      <c r="W13" s="21">
        <f t="shared" si="6"/>
        <v>1125</v>
      </c>
    </row>
    <row r="14" spans="2:23" x14ac:dyDescent="0.3">
      <c r="B14" t="s">
        <v>163</v>
      </c>
      <c r="D14" s="20">
        <v>0.25</v>
      </c>
      <c r="F14">
        <v>10</v>
      </c>
      <c r="G14" s="21">
        <f t="shared" si="10"/>
        <v>44064.259748107033</v>
      </c>
      <c r="H14" s="21">
        <f t="shared" si="0"/>
        <v>1101.6064937026758</v>
      </c>
      <c r="I14" s="21">
        <f t="shared" si="1"/>
        <v>1762.5703899242815</v>
      </c>
      <c r="J14" s="21">
        <f t="shared" si="11"/>
        <v>46928.436631733988</v>
      </c>
      <c r="K14" s="21">
        <f t="shared" si="12"/>
        <v>33434.014089128468</v>
      </c>
      <c r="L14" s="21"/>
      <c r="M14" s="21">
        <f t="shared" si="2"/>
        <v>1125</v>
      </c>
      <c r="N14" s="21">
        <f t="shared" si="3"/>
        <v>483.75</v>
      </c>
      <c r="O14" s="21">
        <f t="shared" si="7"/>
        <v>641.25</v>
      </c>
      <c r="P14" s="71">
        <f t="shared" si="4"/>
        <v>2.5650000000000003E-2</v>
      </c>
      <c r="Q14" s="21">
        <f t="shared" si="5"/>
        <v>275.40162342566896</v>
      </c>
      <c r="S14" s="21">
        <f t="shared" si="13"/>
        <v>44064.259748107033</v>
      </c>
      <c r="T14" s="21">
        <f t="shared" si="8"/>
        <v>1101.6064937026758</v>
      </c>
      <c r="U14" s="21">
        <f t="shared" si="9"/>
        <v>1762.5703899242815</v>
      </c>
      <c r="V14" s="21">
        <f t="shared" si="14"/>
        <v>46928.436631733988</v>
      </c>
      <c r="W14" s="21">
        <f t="shared" si="6"/>
        <v>1125</v>
      </c>
    </row>
    <row r="15" spans="2:23" x14ac:dyDescent="0.3">
      <c r="F15">
        <v>11</v>
      </c>
      <c r="G15" s="21">
        <f t="shared" si="10"/>
        <v>46928.436631733988</v>
      </c>
      <c r="H15" s="21">
        <f t="shared" si="0"/>
        <v>1173.2109157933498</v>
      </c>
      <c r="I15" s="21">
        <f t="shared" si="1"/>
        <v>1877.1374652693596</v>
      </c>
      <c r="J15" s="21">
        <f t="shared" si="11"/>
        <v>49978.785012796703</v>
      </c>
      <c r="K15" s="21">
        <f t="shared" si="12"/>
        <v>34607.22500492182</v>
      </c>
      <c r="L15" s="21"/>
      <c r="M15" s="21">
        <f t="shared" si="2"/>
        <v>1125</v>
      </c>
      <c r="N15" s="21">
        <f t="shared" si="3"/>
        <v>483.75</v>
      </c>
      <c r="O15" s="21">
        <f t="shared" si="7"/>
        <v>641.25</v>
      </c>
      <c r="P15" s="71">
        <f t="shared" si="4"/>
        <v>2.5650000000000003E-2</v>
      </c>
      <c r="Q15" s="21">
        <f t="shared" si="5"/>
        <v>293.30272894833746</v>
      </c>
      <c r="S15" s="21">
        <f t="shared" si="13"/>
        <v>46928.436631733988</v>
      </c>
      <c r="T15" s="21">
        <f t="shared" si="8"/>
        <v>1173.2109157933498</v>
      </c>
      <c r="U15" s="21">
        <f t="shared" si="9"/>
        <v>1877.1374652693596</v>
      </c>
      <c r="V15" s="21">
        <f t="shared" si="14"/>
        <v>49978.785012796703</v>
      </c>
      <c r="W15" s="21">
        <f t="shared" si="6"/>
        <v>1125</v>
      </c>
    </row>
    <row r="16" spans="2:23" x14ac:dyDescent="0.3">
      <c r="F16">
        <v>12</v>
      </c>
      <c r="G16" s="21">
        <f t="shared" si="10"/>
        <v>49978.785012796703</v>
      </c>
      <c r="H16" s="21">
        <f t="shared" si="0"/>
        <v>1249.4696253199177</v>
      </c>
      <c r="I16" s="21">
        <f t="shared" si="1"/>
        <v>1999.1514005118681</v>
      </c>
      <c r="J16" s="21">
        <f t="shared" si="11"/>
        <v>53227.406038628484</v>
      </c>
      <c r="K16" s="21">
        <f t="shared" si="12"/>
        <v>35856.694630241735</v>
      </c>
      <c r="L16" s="21"/>
      <c r="M16" s="21">
        <f t="shared" si="2"/>
        <v>1125</v>
      </c>
      <c r="N16" s="21">
        <f t="shared" si="3"/>
        <v>483.75</v>
      </c>
      <c r="O16" s="21">
        <f t="shared" si="7"/>
        <v>641.25</v>
      </c>
      <c r="P16" s="71">
        <f t="shared" si="4"/>
        <v>2.5650000000000003E-2</v>
      </c>
      <c r="Q16" s="21">
        <f t="shared" si="5"/>
        <v>312.36740632997942</v>
      </c>
      <c r="S16" s="21">
        <f t="shared" si="13"/>
        <v>49978.785012796703</v>
      </c>
      <c r="T16" s="21">
        <f t="shared" si="8"/>
        <v>1249.4696253199177</v>
      </c>
      <c r="U16" s="21">
        <f t="shared" si="9"/>
        <v>1999.1514005118681</v>
      </c>
      <c r="V16" s="21">
        <f t="shared" si="14"/>
        <v>53227.406038628484</v>
      </c>
      <c r="W16" s="21">
        <f t="shared" si="6"/>
        <v>1125</v>
      </c>
    </row>
    <row r="17" spans="6:23" x14ac:dyDescent="0.3">
      <c r="F17">
        <v>13</v>
      </c>
      <c r="G17" s="21">
        <f t="shared" si="10"/>
        <v>53227.406038628484</v>
      </c>
      <c r="H17" s="21">
        <f t="shared" si="0"/>
        <v>1330.6851509657122</v>
      </c>
      <c r="I17" s="21">
        <f t="shared" si="1"/>
        <v>2129.0962415451395</v>
      </c>
      <c r="J17" s="21">
        <f t="shared" si="11"/>
        <v>56687.187431139333</v>
      </c>
      <c r="K17" s="21">
        <f t="shared" si="12"/>
        <v>37187.379781207448</v>
      </c>
      <c r="L17" s="21"/>
      <c r="M17" s="21">
        <f t="shared" si="2"/>
        <v>1125</v>
      </c>
      <c r="N17" s="21">
        <f t="shared" si="3"/>
        <v>483.75</v>
      </c>
      <c r="O17" s="21">
        <f t="shared" si="7"/>
        <v>641.25</v>
      </c>
      <c r="P17" s="71">
        <f t="shared" si="4"/>
        <v>2.5650000000000003E-2</v>
      </c>
      <c r="Q17" s="21">
        <f t="shared" si="5"/>
        <v>332.67128774142805</v>
      </c>
      <c r="S17" s="21">
        <f t="shared" si="13"/>
        <v>53227.406038628484</v>
      </c>
      <c r="T17" s="21">
        <f t="shared" si="8"/>
        <v>1330.6851509657122</v>
      </c>
      <c r="U17" s="21">
        <f t="shared" si="9"/>
        <v>2129.0962415451395</v>
      </c>
      <c r="V17" s="21">
        <f t="shared" si="14"/>
        <v>56687.187431139333</v>
      </c>
      <c r="W17" s="21">
        <f t="shared" si="6"/>
        <v>1125</v>
      </c>
    </row>
    <row r="18" spans="6:23" x14ac:dyDescent="0.3">
      <c r="F18">
        <v>14</v>
      </c>
      <c r="G18" s="21">
        <f t="shared" si="10"/>
        <v>56687.187431139333</v>
      </c>
      <c r="H18" s="21">
        <f t="shared" si="0"/>
        <v>1417.1796857784834</v>
      </c>
      <c r="I18" s="21">
        <f t="shared" si="1"/>
        <v>2267.4874972455732</v>
      </c>
      <c r="J18" s="21">
        <f t="shared" si="11"/>
        <v>60371.854614163392</v>
      </c>
      <c r="K18" s="21">
        <f t="shared" si="12"/>
        <v>38604.559466985935</v>
      </c>
      <c r="L18" s="21"/>
      <c r="M18" s="21">
        <f t="shared" si="2"/>
        <v>1125</v>
      </c>
      <c r="N18" s="21">
        <f t="shared" si="3"/>
        <v>483.75</v>
      </c>
      <c r="O18" s="21">
        <f t="shared" si="7"/>
        <v>641.25</v>
      </c>
      <c r="P18" s="71">
        <f t="shared" si="4"/>
        <v>2.5650000000000003E-2</v>
      </c>
      <c r="Q18" s="21">
        <f t="shared" si="5"/>
        <v>354.29492144462085</v>
      </c>
      <c r="S18" s="21">
        <f t="shared" si="13"/>
        <v>56687.187431139333</v>
      </c>
      <c r="T18" s="21">
        <f t="shared" si="8"/>
        <v>1417.1796857784834</v>
      </c>
      <c r="U18" s="21">
        <f t="shared" si="9"/>
        <v>2267.4874972455732</v>
      </c>
      <c r="V18" s="21">
        <f t="shared" si="14"/>
        <v>60371.854614163392</v>
      </c>
      <c r="W18" s="21">
        <f t="shared" si="6"/>
        <v>1125</v>
      </c>
    </row>
    <row r="19" spans="6:23" x14ac:dyDescent="0.3">
      <c r="F19">
        <v>15</v>
      </c>
      <c r="G19" s="21">
        <f t="shared" si="10"/>
        <v>60371.854614163392</v>
      </c>
      <c r="H19" s="21">
        <f t="shared" si="0"/>
        <v>1509.2963653540849</v>
      </c>
      <c r="I19" s="21">
        <f t="shared" si="1"/>
        <v>2414.8741845665359</v>
      </c>
      <c r="J19" s="21">
        <f t="shared" si="11"/>
        <v>64296.025164084014</v>
      </c>
      <c r="K19" s="21">
        <f t="shared" si="12"/>
        <v>40113.855832340021</v>
      </c>
      <c r="L19" s="21"/>
      <c r="M19" s="21">
        <f t="shared" si="2"/>
        <v>1125</v>
      </c>
      <c r="N19" s="21">
        <f t="shared" si="3"/>
        <v>483.75</v>
      </c>
      <c r="O19" s="21">
        <f t="shared" si="7"/>
        <v>641.25</v>
      </c>
      <c r="P19" s="71">
        <f t="shared" si="4"/>
        <v>2.5650000000000003E-2</v>
      </c>
      <c r="Q19" s="21">
        <f t="shared" si="5"/>
        <v>377.32409133852121</v>
      </c>
      <c r="S19" s="21">
        <f t="shared" si="13"/>
        <v>60371.854614163392</v>
      </c>
      <c r="T19" s="21">
        <f t="shared" si="8"/>
        <v>1509.2963653540849</v>
      </c>
      <c r="U19" s="21">
        <f t="shared" si="9"/>
        <v>2414.8741845665359</v>
      </c>
      <c r="V19" s="21">
        <f t="shared" si="14"/>
        <v>64296.025164084014</v>
      </c>
      <c r="W19" s="21">
        <f t="shared" si="6"/>
        <v>1125</v>
      </c>
    </row>
    <row r="20" spans="6:23" x14ac:dyDescent="0.3">
      <c r="F20">
        <v>16</v>
      </c>
      <c r="G20" s="21">
        <f t="shared" si="10"/>
        <v>64296.025164084014</v>
      </c>
      <c r="H20" s="21">
        <f t="shared" si="0"/>
        <v>1607.4006291021005</v>
      </c>
      <c r="I20" s="21">
        <f t="shared" si="1"/>
        <v>2571.8410065633607</v>
      </c>
      <c r="J20" s="21">
        <f t="shared" si="11"/>
        <v>68475.266799749486</v>
      </c>
      <c r="K20" s="21">
        <f t="shared" si="12"/>
        <v>41721.256461442121</v>
      </c>
      <c r="L20" s="21"/>
      <c r="M20" s="21">
        <f t="shared" si="2"/>
        <v>1125</v>
      </c>
      <c r="N20" s="21">
        <f t="shared" si="3"/>
        <v>483.75</v>
      </c>
      <c r="O20" s="21">
        <f t="shared" si="7"/>
        <v>641.25</v>
      </c>
      <c r="P20" s="71">
        <f t="shared" si="4"/>
        <v>2.5650000000000003E-2</v>
      </c>
      <c r="Q20" s="21">
        <f t="shared" si="5"/>
        <v>401.85015727552513</v>
      </c>
      <c r="S20" s="21">
        <f t="shared" si="13"/>
        <v>64296.025164084014</v>
      </c>
      <c r="T20" s="21">
        <f t="shared" si="8"/>
        <v>1607.4006291021005</v>
      </c>
      <c r="U20" s="21">
        <f t="shared" si="9"/>
        <v>2571.8410065633607</v>
      </c>
      <c r="V20" s="21">
        <f t="shared" si="14"/>
        <v>68475.266799749486</v>
      </c>
      <c r="W20" s="21">
        <f t="shared" si="6"/>
        <v>1125</v>
      </c>
    </row>
    <row r="21" spans="6:23" x14ac:dyDescent="0.3">
      <c r="F21">
        <v>17</v>
      </c>
      <c r="G21" s="21">
        <f t="shared" si="10"/>
        <v>68475.266799749486</v>
      </c>
      <c r="H21" s="21">
        <f t="shared" si="0"/>
        <v>1711.8816699937372</v>
      </c>
      <c r="I21" s="21">
        <f t="shared" si="1"/>
        <v>2739.0106719899795</v>
      </c>
      <c r="J21" s="21">
        <f t="shared" si="11"/>
        <v>72926.159141733195</v>
      </c>
      <c r="K21" s="21">
        <f t="shared" si="12"/>
        <v>43433.138131435859</v>
      </c>
      <c r="L21" s="21"/>
      <c r="M21" s="21">
        <f t="shared" si="2"/>
        <v>1125</v>
      </c>
      <c r="N21" s="21">
        <f t="shared" si="3"/>
        <v>483.75</v>
      </c>
      <c r="O21" s="21">
        <f t="shared" si="7"/>
        <v>641.25</v>
      </c>
      <c r="P21" s="71">
        <f t="shared" si="4"/>
        <v>2.5650000000000003E-2</v>
      </c>
      <c r="Q21" s="21">
        <f t="shared" si="5"/>
        <v>427.9704174984343</v>
      </c>
      <c r="S21" s="21">
        <f t="shared" si="13"/>
        <v>68475.266799749486</v>
      </c>
      <c r="T21" s="21">
        <f t="shared" si="8"/>
        <v>1711.8816699937372</v>
      </c>
      <c r="U21" s="21">
        <f t="shared" si="9"/>
        <v>2739.0106719899795</v>
      </c>
      <c r="V21" s="21">
        <f t="shared" si="14"/>
        <v>72926.159141733195</v>
      </c>
      <c r="W21" s="21">
        <f t="shared" si="6"/>
        <v>1125</v>
      </c>
    </row>
    <row r="22" spans="6:23" x14ac:dyDescent="0.3">
      <c r="F22">
        <v>18</v>
      </c>
      <c r="G22" s="21">
        <f t="shared" si="10"/>
        <v>72926.159141733195</v>
      </c>
      <c r="H22" s="21">
        <f t="shared" si="0"/>
        <v>1823.1539785433299</v>
      </c>
      <c r="I22" s="21">
        <f t="shared" si="1"/>
        <v>2917.0463656693278</v>
      </c>
      <c r="J22" s="21">
        <f t="shared" si="11"/>
        <v>77666.359485945854</v>
      </c>
      <c r="K22" s="21">
        <f t="shared" si="12"/>
        <v>45256.292109979186</v>
      </c>
      <c r="L22" s="21"/>
      <c r="M22" s="21">
        <f t="shared" si="2"/>
        <v>1125</v>
      </c>
      <c r="N22" s="21">
        <f t="shared" si="3"/>
        <v>483.75</v>
      </c>
      <c r="O22" s="21">
        <f t="shared" si="7"/>
        <v>641.25</v>
      </c>
      <c r="P22" s="71">
        <f t="shared" si="4"/>
        <v>2.5650000000000003E-2</v>
      </c>
      <c r="Q22" s="21">
        <f t="shared" si="5"/>
        <v>455.78849463583248</v>
      </c>
      <c r="S22" s="21">
        <f t="shared" si="13"/>
        <v>72926.159141733195</v>
      </c>
      <c r="T22" s="21">
        <f t="shared" si="8"/>
        <v>1823.1539785433299</v>
      </c>
      <c r="U22" s="21">
        <f t="shared" si="9"/>
        <v>2917.0463656693278</v>
      </c>
      <c r="V22" s="21">
        <f t="shared" si="14"/>
        <v>77666.359485945854</v>
      </c>
      <c r="W22" s="21">
        <f t="shared" si="6"/>
        <v>1125</v>
      </c>
    </row>
    <row r="23" spans="6:23" x14ac:dyDescent="0.3">
      <c r="F23">
        <v>19</v>
      </c>
      <c r="G23" s="21">
        <f t="shared" si="10"/>
        <v>77666.359485945854</v>
      </c>
      <c r="H23" s="21">
        <f t="shared" si="0"/>
        <v>1941.6589871486465</v>
      </c>
      <c r="I23" s="21">
        <f t="shared" si="1"/>
        <v>3106.654379437834</v>
      </c>
      <c r="J23" s="21">
        <f t="shared" si="11"/>
        <v>82714.672852532341</v>
      </c>
      <c r="K23" s="21">
        <f t="shared" si="12"/>
        <v>47197.951097127829</v>
      </c>
      <c r="L23" s="21"/>
      <c r="M23" s="21">
        <f t="shared" si="2"/>
        <v>1125</v>
      </c>
      <c r="N23" s="21">
        <f t="shared" si="3"/>
        <v>483.75</v>
      </c>
      <c r="O23" s="21">
        <f t="shared" si="7"/>
        <v>641.25</v>
      </c>
      <c r="P23" s="71">
        <f t="shared" si="4"/>
        <v>2.5650000000000003E-2</v>
      </c>
      <c r="Q23" s="21">
        <f t="shared" si="5"/>
        <v>485.41474678716162</v>
      </c>
      <c r="S23" s="21">
        <f t="shared" si="13"/>
        <v>77666.359485945854</v>
      </c>
      <c r="T23" s="21">
        <f t="shared" si="8"/>
        <v>1941.6589871486465</v>
      </c>
      <c r="U23" s="21">
        <f t="shared" si="9"/>
        <v>3106.654379437834</v>
      </c>
      <c r="V23" s="21">
        <f t="shared" si="14"/>
        <v>82714.672852532341</v>
      </c>
      <c r="W23" s="21">
        <f t="shared" si="6"/>
        <v>1125</v>
      </c>
    </row>
    <row r="24" spans="6:23" x14ac:dyDescent="0.3">
      <c r="F24">
        <v>20</v>
      </c>
      <c r="G24" s="21">
        <f t="shared" si="10"/>
        <v>82714.672852532341</v>
      </c>
      <c r="H24" s="21">
        <f t="shared" si="0"/>
        <v>2067.8668213133087</v>
      </c>
      <c r="I24" s="21">
        <f t="shared" si="1"/>
        <v>3308.5869141012936</v>
      </c>
      <c r="J24" s="21">
        <f t="shared" si="11"/>
        <v>88091.126587946943</v>
      </c>
      <c r="K24" s="21">
        <f t="shared" si="12"/>
        <v>49265.817918441135</v>
      </c>
      <c r="L24" s="21"/>
      <c r="M24" s="21">
        <f t="shared" si="2"/>
        <v>1125</v>
      </c>
      <c r="N24" s="21">
        <f t="shared" si="3"/>
        <v>483.75</v>
      </c>
      <c r="O24" s="21">
        <f t="shared" si="7"/>
        <v>641.25</v>
      </c>
      <c r="P24" s="71">
        <f t="shared" si="4"/>
        <v>2.5650000000000003E-2</v>
      </c>
      <c r="Q24" s="21">
        <f t="shared" si="5"/>
        <v>516.96670532832718</v>
      </c>
      <c r="S24" s="21">
        <f t="shared" si="13"/>
        <v>82714.672852532341</v>
      </c>
      <c r="T24" s="21">
        <f t="shared" si="8"/>
        <v>2067.8668213133087</v>
      </c>
      <c r="U24" s="21">
        <f t="shared" si="9"/>
        <v>3308.5869141012936</v>
      </c>
      <c r="V24" s="21">
        <f t="shared" si="14"/>
        <v>88091.126587946943</v>
      </c>
      <c r="W24" s="21">
        <f t="shared" si="6"/>
        <v>1125</v>
      </c>
    </row>
    <row r="25" spans="6:23" x14ac:dyDescent="0.3">
      <c r="F25">
        <v>21</v>
      </c>
      <c r="G25" s="21">
        <f t="shared" si="10"/>
        <v>88091.126587946943</v>
      </c>
      <c r="H25" s="21">
        <f t="shared" si="0"/>
        <v>2202.2781646986737</v>
      </c>
      <c r="I25" s="21">
        <f t="shared" si="1"/>
        <v>3523.6450635178776</v>
      </c>
      <c r="J25" s="21">
        <f t="shared" si="11"/>
        <v>93817.04981616349</v>
      </c>
      <c r="K25" s="21">
        <f t="shared" si="12"/>
        <v>51468.096083139812</v>
      </c>
      <c r="L25" s="21"/>
      <c r="M25" s="21">
        <f t="shared" si="2"/>
        <v>1125</v>
      </c>
      <c r="N25" s="21">
        <f t="shared" si="3"/>
        <v>483.75</v>
      </c>
      <c r="O25" s="21">
        <f t="shared" si="7"/>
        <v>641.25</v>
      </c>
      <c r="P25" s="71">
        <f t="shared" si="4"/>
        <v>2.5650000000000003E-2</v>
      </c>
      <c r="Q25" s="21">
        <f t="shared" si="5"/>
        <v>550.56954117466842</v>
      </c>
      <c r="S25" s="21">
        <f t="shared" si="13"/>
        <v>88091.126587946943</v>
      </c>
      <c r="T25" s="21">
        <f t="shared" si="8"/>
        <v>2202.2781646986737</v>
      </c>
      <c r="U25" s="21">
        <f t="shared" si="9"/>
        <v>3523.6450635178776</v>
      </c>
      <c r="V25" s="21">
        <f t="shared" si="14"/>
        <v>93817.04981616349</v>
      </c>
      <c r="W25" s="21">
        <f t="shared" si="6"/>
        <v>1125</v>
      </c>
    </row>
    <row r="26" spans="6:23" x14ac:dyDescent="0.3">
      <c r="F26">
        <v>22</v>
      </c>
      <c r="G26" s="21">
        <f t="shared" si="10"/>
        <v>93817.04981616349</v>
      </c>
      <c r="H26" s="21">
        <f t="shared" si="0"/>
        <v>2345.4262454040872</v>
      </c>
      <c r="I26" s="21">
        <f t="shared" si="1"/>
        <v>3752.6819926465396</v>
      </c>
      <c r="J26" s="21">
        <f t="shared" si="11"/>
        <v>99915.158054214116</v>
      </c>
      <c r="K26" s="21">
        <f t="shared" si="12"/>
        <v>53813.522328543899</v>
      </c>
      <c r="L26" s="21"/>
      <c r="M26" s="21">
        <f t="shared" si="2"/>
        <v>1125</v>
      </c>
      <c r="N26" s="21">
        <f t="shared" si="3"/>
        <v>483.75</v>
      </c>
      <c r="O26" s="21">
        <f t="shared" si="7"/>
        <v>641.25</v>
      </c>
      <c r="P26" s="71">
        <f t="shared" si="4"/>
        <v>2.5650000000000003E-2</v>
      </c>
      <c r="Q26" s="21">
        <f t="shared" si="5"/>
        <v>586.35656135102181</v>
      </c>
      <c r="S26" s="21">
        <f t="shared" si="13"/>
        <v>93817.04981616349</v>
      </c>
      <c r="T26" s="21">
        <f t="shared" si="8"/>
        <v>2345.4262454040872</v>
      </c>
      <c r="U26" s="21">
        <f t="shared" si="9"/>
        <v>3752.6819926465396</v>
      </c>
      <c r="V26" s="21">
        <f t="shared" si="14"/>
        <v>99915.158054214116</v>
      </c>
      <c r="W26" s="21">
        <f t="shared" si="6"/>
        <v>1125</v>
      </c>
    </row>
    <row r="27" spans="6:23" x14ac:dyDescent="0.3">
      <c r="F27">
        <v>23</v>
      </c>
      <c r="G27" s="21">
        <f t="shared" si="10"/>
        <v>99915.158054214116</v>
      </c>
      <c r="H27" s="21">
        <f t="shared" si="0"/>
        <v>2497.8789513553529</v>
      </c>
      <c r="I27" s="21">
        <f t="shared" si="1"/>
        <v>3996.6063221685649</v>
      </c>
      <c r="J27" s="21">
        <f t="shared" si="11"/>
        <v>106409.64332773803</v>
      </c>
      <c r="K27" s="21">
        <f t="shared" si="12"/>
        <v>56311.401279899248</v>
      </c>
      <c r="L27" s="21"/>
      <c r="M27" s="21">
        <f t="shared" si="2"/>
        <v>1125</v>
      </c>
      <c r="N27" s="21">
        <f t="shared" si="3"/>
        <v>483.75</v>
      </c>
      <c r="O27" s="21">
        <f t="shared" si="7"/>
        <v>641.25</v>
      </c>
      <c r="P27" s="71">
        <f t="shared" si="4"/>
        <v>2.5650000000000003E-2</v>
      </c>
      <c r="Q27" s="21">
        <f t="shared" si="5"/>
        <v>624.46973783883823</v>
      </c>
      <c r="S27" s="21">
        <f t="shared" si="13"/>
        <v>99915.158054214116</v>
      </c>
      <c r="T27" s="21">
        <f t="shared" si="8"/>
        <v>2497.8789513553529</v>
      </c>
      <c r="U27" s="21">
        <f t="shared" si="9"/>
        <v>3996.6063221685649</v>
      </c>
      <c r="V27" s="21">
        <f t="shared" si="14"/>
        <v>106409.64332773803</v>
      </c>
      <c r="W27" s="21">
        <f t="shared" si="6"/>
        <v>1125</v>
      </c>
    </row>
    <row r="28" spans="6:23" x14ac:dyDescent="0.3">
      <c r="F28">
        <v>24</v>
      </c>
      <c r="G28" s="21">
        <f t="shared" si="10"/>
        <v>106409.64332773803</v>
      </c>
      <c r="H28" s="21">
        <f t="shared" si="0"/>
        <v>2660.2410831934508</v>
      </c>
      <c r="I28" s="21">
        <f t="shared" si="1"/>
        <v>4256.3857331095214</v>
      </c>
      <c r="J28" s="21">
        <f t="shared" si="11"/>
        <v>113326.270144041</v>
      </c>
      <c r="K28" s="21">
        <f t="shared" si="12"/>
        <v>58971.642363092702</v>
      </c>
      <c r="L28" s="21"/>
      <c r="M28" s="21">
        <f t="shared" si="2"/>
        <v>1125</v>
      </c>
      <c r="N28" s="21">
        <f t="shared" si="3"/>
        <v>483.75</v>
      </c>
      <c r="O28" s="21">
        <f t="shared" si="7"/>
        <v>641.25</v>
      </c>
      <c r="P28" s="71">
        <f t="shared" si="4"/>
        <v>2.5650000000000003E-2</v>
      </c>
      <c r="Q28" s="21">
        <f t="shared" si="5"/>
        <v>665.06027079836269</v>
      </c>
      <c r="S28" s="21">
        <f t="shared" si="13"/>
        <v>106409.64332773803</v>
      </c>
      <c r="T28" s="21">
        <f t="shared" si="8"/>
        <v>2660.2410831934508</v>
      </c>
      <c r="U28" s="21">
        <f t="shared" si="9"/>
        <v>4256.3857331095214</v>
      </c>
      <c r="V28" s="21">
        <f t="shared" si="14"/>
        <v>113326.270144041</v>
      </c>
      <c r="W28" s="21">
        <f t="shared" si="6"/>
        <v>1125</v>
      </c>
    </row>
    <row r="29" spans="6:23" x14ac:dyDescent="0.3">
      <c r="F29">
        <v>25</v>
      </c>
      <c r="G29" s="21">
        <f t="shared" si="10"/>
        <v>113326.270144041</v>
      </c>
      <c r="H29" s="72">
        <f t="shared" si="0"/>
        <v>2833.1567536010252</v>
      </c>
      <c r="I29" s="21">
        <f t="shared" si="1"/>
        <v>4533.0508057616398</v>
      </c>
      <c r="J29" s="78">
        <f t="shared" si="11"/>
        <v>120692.47770340367</v>
      </c>
      <c r="K29" s="21">
        <f t="shared" si="12"/>
        <v>61804.799116693728</v>
      </c>
      <c r="L29" s="21"/>
      <c r="M29" s="72">
        <f t="shared" si="2"/>
        <v>1125</v>
      </c>
      <c r="N29" s="72">
        <f t="shared" si="3"/>
        <v>483.75</v>
      </c>
      <c r="O29" s="72">
        <f t="shared" si="7"/>
        <v>641.25</v>
      </c>
      <c r="P29" s="71">
        <f t="shared" si="4"/>
        <v>2.5650000000000003E-2</v>
      </c>
      <c r="Q29" s="72">
        <f t="shared" si="5"/>
        <v>708.28918840025631</v>
      </c>
      <c r="S29" s="21">
        <f t="shared" si="13"/>
        <v>113326.270144041</v>
      </c>
      <c r="T29" s="21">
        <f t="shared" si="8"/>
        <v>2833.1567536010252</v>
      </c>
      <c r="U29" s="21">
        <f t="shared" si="9"/>
        <v>4533.0508057616398</v>
      </c>
      <c r="V29" s="21">
        <f t="shared" si="14"/>
        <v>120692.47770340367</v>
      </c>
      <c r="W29" s="72">
        <f t="shared" si="6"/>
        <v>1125</v>
      </c>
    </row>
    <row r="30" spans="6:23" x14ac:dyDescent="0.3">
      <c r="H30" s="21">
        <f>SUM(H5:H29)</f>
        <v>36804.799116693728</v>
      </c>
      <c r="M30" s="21">
        <f>SUM(M5:M29)</f>
        <v>28125</v>
      </c>
      <c r="N30" s="73">
        <f t="shared" si="3"/>
        <v>12093.75</v>
      </c>
      <c r="O30" s="21">
        <f t="shared" si="7"/>
        <v>16031.25</v>
      </c>
      <c r="Q30" s="21">
        <f>SUM(Q5:Q29)</f>
        <v>9201.199779173432</v>
      </c>
      <c r="W30" s="21">
        <f>SUM(W5:W29)</f>
        <v>28125</v>
      </c>
    </row>
    <row r="32" spans="6:23" x14ac:dyDescent="0.3">
      <c r="G32" s="74" t="s">
        <v>154</v>
      </c>
      <c r="H32" s="74"/>
      <c r="I32" s="74"/>
      <c r="J32" s="74"/>
      <c r="K32" s="74"/>
      <c r="M32" s="74" t="s">
        <v>152</v>
      </c>
      <c r="N32" s="74"/>
      <c r="S32" s="74" t="s">
        <v>154</v>
      </c>
      <c r="T32" s="74"/>
    </row>
    <row r="33" spans="7:21" x14ac:dyDescent="0.3">
      <c r="G33" s="74"/>
      <c r="H33" s="75">
        <f>J29</f>
        <v>120692.47770340367</v>
      </c>
      <c r="I33" s="74" t="s">
        <v>155</v>
      </c>
      <c r="K33" s="74"/>
      <c r="M33" s="74"/>
      <c r="N33" s="75">
        <f>J29</f>
        <v>120692.47770340367</v>
      </c>
      <c r="O33" s="74" t="s">
        <v>143</v>
      </c>
      <c r="T33" s="75">
        <f>V29</f>
        <v>120692.47770340367</v>
      </c>
      <c r="U33" s="74" t="s">
        <v>155</v>
      </c>
    </row>
    <row r="34" spans="7:21" x14ac:dyDescent="0.3">
      <c r="G34" s="74"/>
      <c r="H34" s="75">
        <f>-O30</f>
        <v>-16031.25</v>
      </c>
      <c r="I34" s="74" t="s">
        <v>156</v>
      </c>
      <c r="K34" s="74"/>
      <c r="M34" s="74"/>
      <c r="N34" s="75">
        <f>-G5</f>
        <v>-25000</v>
      </c>
      <c r="O34" s="74" t="s">
        <v>141</v>
      </c>
      <c r="T34" s="75">
        <f>-W30</f>
        <v>-28125</v>
      </c>
      <c r="U34" s="74" t="s">
        <v>164</v>
      </c>
    </row>
    <row r="35" spans="7:21" x14ac:dyDescent="0.3">
      <c r="G35" s="74"/>
      <c r="H35" s="75">
        <f>-Q30</f>
        <v>-9201.199779173432</v>
      </c>
      <c r="I35" s="74" t="s">
        <v>157</v>
      </c>
      <c r="K35" s="74"/>
      <c r="M35" s="74"/>
      <c r="N35" s="76">
        <f>-H30</f>
        <v>-36804.799116693728</v>
      </c>
      <c r="O35" s="74" t="s">
        <v>166</v>
      </c>
      <c r="T35" s="74">
        <v>0</v>
      </c>
      <c r="U35" s="74" t="s">
        <v>157</v>
      </c>
    </row>
    <row r="36" spans="7:21" x14ac:dyDescent="0.3">
      <c r="G36" s="74"/>
      <c r="H36" s="76">
        <f>-D6</f>
        <v>-25000</v>
      </c>
      <c r="I36" s="74" t="s">
        <v>141</v>
      </c>
      <c r="K36" s="74"/>
      <c r="M36" s="74"/>
      <c r="N36" s="75">
        <f>SUM(N33:N35)</f>
        <v>58887.678586709939</v>
      </c>
      <c r="O36" s="74" t="s">
        <v>167</v>
      </c>
      <c r="T36" s="76">
        <f>-D6</f>
        <v>-25000</v>
      </c>
      <c r="U36" s="74" t="s">
        <v>141</v>
      </c>
    </row>
    <row r="37" spans="7:21" x14ac:dyDescent="0.3">
      <c r="G37" s="74"/>
      <c r="H37" s="75">
        <f>SUM(H33:H36)</f>
        <v>70460.027924230235</v>
      </c>
      <c r="I37" s="74" t="s">
        <v>0</v>
      </c>
      <c r="K37" s="74"/>
      <c r="N37" s="75">
        <f>N36/2</f>
        <v>29443.839293354969</v>
      </c>
      <c r="O37" s="74" t="s">
        <v>162</v>
      </c>
      <c r="T37" s="75">
        <f>SUM(T33:T36)</f>
        <v>67567.477703403667</v>
      </c>
      <c r="U37" s="74" t="s">
        <v>0</v>
      </c>
    </row>
    <row r="38" spans="7:21" x14ac:dyDescent="0.3">
      <c r="G38" s="74"/>
      <c r="H38" s="77"/>
      <c r="I38" s="74" t="s">
        <v>158</v>
      </c>
      <c r="K38" s="74"/>
      <c r="N38" s="74"/>
      <c r="O38" s="68" t="s">
        <v>160</v>
      </c>
      <c r="T38" s="77">
        <v>0</v>
      </c>
      <c r="U38" s="74" t="s">
        <v>158</v>
      </c>
    </row>
    <row r="39" spans="7:21" x14ac:dyDescent="0.3">
      <c r="G39" s="74"/>
      <c r="H39" s="74"/>
      <c r="I39" s="74" t="s">
        <v>168</v>
      </c>
      <c r="K39" s="74"/>
      <c r="N39" s="74"/>
      <c r="O39" s="68" t="s">
        <v>161</v>
      </c>
      <c r="T39" s="75">
        <f>SUM(T37:T38)</f>
        <v>67567.477703403667</v>
      </c>
      <c r="U39" s="74" t="s">
        <v>159</v>
      </c>
    </row>
    <row r="40" spans="7:21" x14ac:dyDescent="0.3">
      <c r="G40" s="74"/>
      <c r="H40" s="74"/>
      <c r="I40" s="74"/>
      <c r="J40" s="74"/>
      <c r="K40" s="74"/>
      <c r="L40" s="74"/>
      <c r="M40" s="74"/>
      <c r="N40" s="74"/>
    </row>
  </sheetData>
  <mergeCells count="2">
    <mergeCell ref="S1:W1"/>
    <mergeCell ref="G1:Q1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EC68-1915-44D6-B7FB-CACBBB423612}">
  <dimension ref="B1:M34"/>
  <sheetViews>
    <sheetView zoomScale="120" zoomScaleNormal="120" workbookViewId="0">
      <selection activeCell="K33" sqref="K33"/>
    </sheetView>
  </sheetViews>
  <sheetFormatPr defaultRowHeight="14.4" x14ac:dyDescent="0.3"/>
  <cols>
    <col min="4" max="4" width="9.109375" bestFit="1" customWidth="1"/>
    <col min="5" max="5" width="10.44140625" bestFit="1" customWidth="1"/>
    <col min="6" max="6" width="10.33203125" bestFit="1" customWidth="1"/>
    <col min="8" max="8" width="2.5546875" customWidth="1"/>
    <col min="9" max="9" width="8.5546875" customWidth="1"/>
    <col min="10" max="10" width="10.33203125" bestFit="1" customWidth="1"/>
    <col min="11" max="11" width="19.5546875" customWidth="1"/>
    <col min="13" max="13" width="8" bestFit="1" customWidth="1"/>
  </cols>
  <sheetData>
    <row r="1" spans="2:13" x14ac:dyDescent="0.3">
      <c r="B1" s="4" t="s">
        <v>199</v>
      </c>
    </row>
    <row r="3" spans="2:13" x14ac:dyDescent="0.3">
      <c r="B3" s="4" t="s">
        <v>180</v>
      </c>
    </row>
    <row r="4" spans="2:13" x14ac:dyDescent="0.3">
      <c r="C4" t="s">
        <v>173</v>
      </c>
      <c r="D4" t="s">
        <v>176</v>
      </c>
      <c r="I4" t="s">
        <v>181</v>
      </c>
    </row>
    <row r="5" spans="2:13" x14ac:dyDescent="0.3">
      <c r="C5" t="s">
        <v>174</v>
      </c>
      <c r="D5" t="s">
        <v>177</v>
      </c>
      <c r="E5" t="s">
        <v>170</v>
      </c>
      <c r="F5" t="s">
        <v>171</v>
      </c>
      <c r="G5" t="s">
        <v>179</v>
      </c>
    </row>
    <row r="6" spans="2:13" x14ac:dyDescent="0.3">
      <c r="C6" t="s">
        <v>175</v>
      </c>
      <c r="D6" t="s">
        <v>178</v>
      </c>
      <c r="E6" t="s">
        <v>148</v>
      </c>
      <c r="F6" t="s">
        <v>148</v>
      </c>
      <c r="G6" t="s">
        <v>1</v>
      </c>
      <c r="I6" t="s">
        <v>182</v>
      </c>
      <c r="L6" t="s">
        <v>190</v>
      </c>
      <c r="M6" s="56">
        <v>1</v>
      </c>
    </row>
    <row r="7" spans="2:13" x14ac:dyDescent="0.3">
      <c r="B7" t="s">
        <v>172</v>
      </c>
      <c r="C7">
        <v>2000</v>
      </c>
      <c r="D7" s="79">
        <v>3</v>
      </c>
      <c r="E7" s="80">
        <f t="shared" ref="E7:E8" si="0">C7*D7</f>
        <v>6000</v>
      </c>
      <c r="F7" s="80">
        <f t="shared" ref="F7:F8" si="1">C7*D7</f>
        <v>6000</v>
      </c>
      <c r="I7" t="s">
        <v>183</v>
      </c>
    </row>
    <row r="8" spans="2:13" x14ac:dyDescent="0.3">
      <c r="B8" t="s">
        <v>115</v>
      </c>
      <c r="C8">
        <v>200</v>
      </c>
      <c r="D8" s="79">
        <v>1</v>
      </c>
      <c r="E8" s="81">
        <f t="shared" si="0"/>
        <v>200</v>
      </c>
      <c r="F8" s="81">
        <f t="shared" si="1"/>
        <v>200</v>
      </c>
      <c r="I8" t="s">
        <v>191</v>
      </c>
    </row>
    <row r="9" spans="2:13" x14ac:dyDescent="0.3">
      <c r="E9" s="80">
        <f>SUM(E7:E8)</f>
        <v>6200</v>
      </c>
      <c r="F9" s="80">
        <f>SUM(F7:F8)</f>
        <v>6200</v>
      </c>
      <c r="I9" t="s">
        <v>192</v>
      </c>
    </row>
    <row r="11" spans="2:13" x14ac:dyDescent="0.3">
      <c r="B11" s="4" t="s">
        <v>200</v>
      </c>
    </row>
    <row r="12" spans="2:13" x14ac:dyDescent="0.3">
      <c r="C12" t="s">
        <v>173</v>
      </c>
      <c r="D12" t="s">
        <v>176</v>
      </c>
    </row>
    <row r="13" spans="2:13" x14ac:dyDescent="0.3">
      <c r="C13" t="s">
        <v>174</v>
      </c>
      <c r="D13" t="s">
        <v>177</v>
      </c>
      <c r="E13" t="s">
        <v>170</v>
      </c>
      <c r="F13" t="s">
        <v>171</v>
      </c>
      <c r="G13" t="s">
        <v>179</v>
      </c>
    </row>
    <row r="14" spans="2:13" x14ac:dyDescent="0.3">
      <c r="C14" t="s">
        <v>175</v>
      </c>
      <c r="D14" t="s">
        <v>178</v>
      </c>
      <c r="E14" t="s">
        <v>148</v>
      </c>
      <c r="F14" t="s">
        <v>148</v>
      </c>
      <c r="G14" t="s">
        <v>1</v>
      </c>
      <c r="I14" t="s">
        <v>191</v>
      </c>
      <c r="L14" t="s">
        <v>190</v>
      </c>
      <c r="M14" s="70">
        <f>E15/F15</f>
        <v>0.68027210884353739</v>
      </c>
    </row>
    <row r="15" spans="2:13" x14ac:dyDescent="0.3">
      <c r="B15" t="s">
        <v>172</v>
      </c>
      <c r="C15">
        <v>2000</v>
      </c>
      <c r="D15" s="79">
        <v>4.41</v>
      </c>
      <c r="E15" s="80">
        <v>6000</v>
      </c>
      <c r="F15" s="80">
        <f t="shared" ref="F15:F16" si="2">C15*D15</f>
        <v>8820</v>
      </c>
      <c r="G15" s="80">
        <f>F15-E15</f>
        <v>2820</v>
      </c>
      <c r="I15" t="s">
        <v>193</v>
      </c>
    </row>
    <row r="16" spans="2:13" x14ac:dyDescent="0.3">
      <c r="B16" t="s">
        <v>115</v>
      </c>
      <c r="C16">
        <v>500</v>
      </c>
      <c r="D16" s="79">
        <v>1</v>
      </c>
      <c r="E16" s="81">
        <f t="shared" ref="E16" si="3">C16*D16</f>
        <v>500</v>
      </c>
      <c r="F16" s="81">
        <f t="shared" si="2"/>
        <v>500</v>
      </c>
      <c r="G16">
        <v>0</v>
      </c>
    </row>
    <row r="17" spans="2:13" x14ac:dyDescent="0.3">
      <c r="E17" s="80">
        <f>SUM(E15:E16)</f>
        <v>6500</v>
      </c>
      <c r="F17" s="80">
        <f>SUM(F15:F16)</f>
        <v>9320</v>
      </c>
    </row>
    <row r="18" spans="2:13" x14ac:dyDescent="0.3">
      <c r="E18" s="80"/>
      <c r="F18" s="80"/>
    </row>
    <row r="19" spans="2:13" x14ac:dyDescent="0.3">
      <c r="B19" s="4" t="s">
        <v>201</v>
      </c>
    </row>
    <row r="20" spans="2:13" x14ac:dyDescent="0.3">
      <c r="B20" t="s">
        <v>172</v>
      </c>
      <c r="C20">
        <v>2100</v>
      </c>
      <c r="D20" s="79">
        <v>4.5</v>
      </c>
      <c r="E20" s="1">
        <f>J23</f>
        <v>6450</v>
      </c>
      <c r="F20" s="1">
        <f>C20*D20</f>
        <v>9450</v>
      </c>
      <c r="G20" s="52">
        <f>F20-E20</f>
        <v>3000</v>
      </c>
      <c r="I20" s="35" t="s">
        <v>189</v>
      </c>
      <c r="J20" s="35" t="s">
        <v>195</v>
      </c>
    </row>
    <row r="21" spans="2:13" x14ac:dyDescent="0.3">
      <c r="B21" t="s">
        <v>115</v>
      </c>
      <c r="C21">
        <v>50</v>
      </c>
      <c r="D21" s="83">
        <v>1</v>
      </c>
      <c r="E21" s="82">
        <f>C21*D21</f>
        <v>50</v>
      </c>
      <c r="F21" s="60">
        <f>C21*D21</f>
        <v>50</v>
      </c>
      <c r="I21">
        <v>2000</v>
      </c>
      <c r="J21" s="1">
        <v>6000</v>
      </c>
    </row>
    <row r="22" spans="2:13" x14ac:dyDescent="0.3">
      <c r="E22" s="52">
        <f>SUM(E20:E21)</f>
        <v>6500</v>
      </c>
      <c r="F22" s="52">
        <f>SUM(F20:F21)</f>
        <v>9500</v>
      </c>
      <c r="I22" s="35">
        <v>100</v>
      </c>
      <c r="J22" s="82">
        <v>450</v>
      </c>
    </row>
    <row r="23" spans="2:13" x14ac:dyDescent="0.3">
      <c r="I23">
        <f>SUM(I21:I22)</f>
        <v>2100</v>
      </c>
      <c r="J23" s="1">
        <f>SUM(J21:J22)</f>
        <v>6450</v>
      </c>
      <c r="K23" s="83"/>
      <c r="L23" t="s">
        <v>190</v>
      </c>
      <c r="M23" s="70">
        <f>E20/F20</f>
        <v>0.68253968253968256</v>
      </c>
    </row>
    <row r="24" spans="2:13" x14ac:dyDescent="0.3">
      <c r="J24" s="1"/>
      <c r="K24" s="83"/>
      <c r="M24" s="84"/>
    </row>
    <row r="25" spans="2:13" x14ac:dyDescent="0.3">
      <c r="B25" s="4" t="s">
        <v>194</v>
      </c>
      <c r="I25" t="s">
        <v>184</v>
      </c>
      <c r="K25" s="80"/>
      <c r="L25" s="56" t="s">
        <v>190</v>
      </c>
      <c r="M25" s="70">
        <f>E20/(2100*4.9)</f>
        <v>0.62682215743440228</v>
      </c>
    </row>
    <row r="26" spans="2:13" x14ac:dyDescent="0.3">
      <c r="B26" s="4" t="s">
        <v>188</v>
      </c>
      <c r="I26" t="s">
        <v>185</v>
      </c>
      <c r="J26" t="s">
        <v>186</v>
      </c>
    </row>
    <row r="27" spans="2:13" x14ac:dyDescent="0.3">
      <c r="B27" t="s">
        <v>172</v>
      </c>
      <c r="C27">
        <f>C20-1250</f>
        <v>850</v>
      </c>
      <c r="D27" s="79">
        <v>4.9000000000000004</v>
      </c>
      <c r="E27" s="1">
        <v>2610</v>
      </c>
      <c r="F27" s="1">
        <f>D27*C27</f>
        <v>4165</v>
      </c>
      <c r="G27" s="1">
        <f>F27-E27</f>
        <v>1555</v>
      </c>
      <c r="I27" t="s">
        <v>187</v>
      </c>
      <c r="J27" t="s">
        <v>196</v>
      </c>
    </row>
    <row r="28" spans="2:13" x14ac:dyDescent="0.3">
      <c r="B28" t="s">
        <v>115</v>
      </c>
      <c r="C28">
        <v>6175</v>
      </c>
      <c r="D28" s="79">
        <v>1</v>
      </c>
      <c r="E28" s="82">
        <f>C28*D28</f>
        <v>6175</v>
      </c>
      <c r="F28" s="82">
        <f>C28*D28</f>
        <v>6175</v>
      </c>
      <c r="G28" s="1"/>
      <c r="I28" t="s">
        <v>197</v>
      </c>
    </row>
    <row r="29" spans="2:13" x14ac:dyDescent="0.3">
      <c r="D29" s="1"/>
      <c r="E29" s="1">
        <f>SUM(E27:E28)</f>
        <v>8785</v>
      </c>
      <c r="F29" s="1">
        <f>SUM(F27:F28)</f>
        <v>10340</v>
      </c>
      <c r="G29" s="1"/>
      <c r="I29" t="s">
        <v>198</v>
      </c>
      <c r="L29" t="s">
        <v>190</v>
      </c>
      <c r="M29" s="70">
        <f>E27/F27</f>
        <v>0.62665066026410565</v>
      </c>
    </row>
    <row r="31" spans="2:13" x14ac:dyDescent="0.3">
      <c r="I31" s="35" t="s">
        <v>189</v>
      </c>
      <c r="J31" s="35" t="s">
        <v>195</v>
      </c>
    </row>
    <row r="32" spans="2:13" x14ac:dyDescent="0.3">
      <c r="I32">
        <f>I23</f>
        <v>2100</v>
      </c>
      <c r="J32" s="1">
        <f>J23</f>
        <v>6450</v>
      </c>
    </row>
    <row r="33" spans="9:10" x14ac:dyDescent="0.3">
      <c r="I33" s="35">
        <v>-1250</v>
      </c>
      <c r="J33" s="82">
        <v>-3840</v>
      </c>
    </row>
    <row r="34" spans="9:10" x14ac:dyDescent="0.3">
      <c r="I34">
        <f>SUM(I32:I33)</f>
        <v>850</v>
      </c>
      <c r="J34" s="1">
        <f>SUM(J32:J33)</f>
        <v>2610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Work</vt:lpstr>
      <vt:lpstr>Retirement</vt:lpstr>
      <vt:lpstr>Asset Allocation</vt:lpstr>
      <vt:lpstr>Product</vt:lpstr>
      <vt:lpstr>Portfolio</vt:lpstr>
      <vt:lpstr>Pay Debt or Invest</vt:lpstr>
      <vt:lpstr>Borrow To Invest</vt:lpstr>
      <vt:lpstr> Book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Immaculate Villacrucis</dc:creator>
  <cp:lastModifiedBy>robert pavich</cp:lastModifiedBy>
  <dcterms:created xsi:type="dcterms:W3CDTF">2018-02-01T11:18:47Z</dcterms:created>
  <dcterms:modified xsi:type="dcterms:W3CDTF">2020-03-09T11:50:08Z</dcterms:modified>
</cp:coreProperties>
</file>