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c06221f9d3d3cd/Investment Ideas/Stock Data/Nevada Copper/"/>
    </mc:Choice>
  </mc:AlternateContent>
  <xr:revisionPtr revIDLastSave="1078" documentId="8_{AB2E682C-ADBB-48E7-A73B-BC20FDD8BF48}" xr6:coauthVersionLast="46" xr6:coauthVersionMax="46" xr10:uidLastSave="{C92A7F66-C99E-411E-AAFA-135BC2B22F2A}"/>
  <bookViews>
    <workbookView xWindow="-108" yWindow="-108" windowWidth="23256" windowHeight="12576" xr2:uid="{EF8568AD-FA3C-4EF2-A999-978E16DF862D}"/>
  </bookViews>
  <sheets>
    <sheet name="Summary" sheetId="1" r:id="rId1"/>
    <sheet name="Underground detai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8" i="1" l="1"/>
  <c r="N13" i="1"/>
  <c r="O13" i="1"/>
  <c r="G74" i="2"/>
  <c r="G75" i="2" s="1"/>
  <c r="H74" i="2"/>
  <c r="I74" i="2"/>
  <c r="J74" i="2"/>
  <c r="K74" i="2"/>
  <c r="K75" i="2" s="1"/>
  <c r="L74" i="2"/>
  <c r="L75" i="2" s="1"/>
  <c r="M74" i="2"/>
  <c r="N74" i="2"/>
  <c r="N75" i="2" s="1"/>
  <c r="O74" i="2"/>
  <c r="P74" i="2"/>
  <c r="Q74" i="2"/>
  <c r="R74" i="2"/>
  <c r="H75" i="2"/>
  <c r="I75" i="2"/>
  <c r="J75" i="2"/>
  <c r="M75" i="2"/>
  <c r="O75" i="2"/>
  <c r="P75" i="2"/>
  <c r="Q75" i="2"/>
  <c r="R75" i="2"/>
  <c r="F74" i="2"/>
  <c r="F75" i="2" s="1"/>
  <c r="S61" i="2" l="1"/>
  <c r="P12" i="1"/>
  <c r="I14" i="1" l="1"/>
  <c r="F48" i="1" l="1"/>
  <c r="H165" i="1" l="1"/>
  <c r="J165" i="1"/>
  <c r="H166" i="1" l="1"/>
  <c r="U13" i="1"/>
  <c r="U12" i="1"/>
  <c r="U14" i="1" l="1"/>
  <c r="G12" i="1"/>
  <c r="G14" i="1" s="1"/>
  <c r="G5" i="2" l="1"/>
  <c r="G4" i="2"/>
  <c r="H4" i="2" s="1"/>
  <c r="I4" i="2" s="1"/>
  <c r="J4" i="2" s="1"/>
  <c r="K4" i="2" s="1"/>
  <c r="L4" i="2" s="1"/>
  <c r="E54" i="2"/>
  <c r="D54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R35" i="2"/>
  <c r="Q35" i="2"/>
  <c r="P35" i="2"/>
  <c r="O35" i="2"/>
  <c r="N35" i="2"/>
  <c r="N58" i="2" s="1"/>
  <c r="M35" i="2"/>
  <c r="M58" i="2" s="1"/>
  <c r="L35" i="2"/>
  <c r="L58" i="2" s="1"/>
  <c r="K35" i="2"/>
  <c r="J35" i="2"/>
  <c r="I35" i="2"/>
  <c r="H35" i="2"/>
  <c r="G35" i="2"/>
  <c r="F35" i="2"/>
  <c r="F58" i="2" s="1"/>
  <c r="R24" i="2"/>
  <c r="R29" i="2" s="1"/>
  <c r="Q24" i="2"/>
  <c r="Q29" i="2" s="1"/>
  <c r="P24" i="2"/>
  <c r="P29" i="2" s="1"/>
  <c r="O24" i="2"/>
  <c r="O29" i="2" s="1"/>
  <c r="N24" i="2"/>
  <c r="N29" i="2" s="1"/>
  <c r="M24" i="2"/>
  <c r="M29" i="2" s="1"/>
  <c r="L24" i="2"/>
  <c r="L29" i="2" s="1"/>
  <c r="K24" i="2"/>
  <c r="K29" i="2" s="1"/>
  <c r="J24" i="2"/>
  <c r="J29" i="2" s="1"/>
  <c r="I24" i="2"/>
  <c r="I29" i="2" s="1"/>
  <c r="H24" i="2"/>
  <c r="H29" i="2" s="1"/>
  <c r="G24" i="2"/>
  <c r="G29" i="2" s="1"/>
  <c r="F24" i="2"/>
  <c r="F29" i="2" s="1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F28" i="2" s="1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F27" i="2" s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20" i="1"/>
  <c r="R14" i="1"/>
  <c r="S14" i="1" s="1"/>
  <c r="F14" i="1"/>
  <c r="B14" i="1"/>
  <c r="P14" i="1" s="1"/>
  <c r="F21" i="1"/>
  <c r="G21" i="1" s="1"/>
  <c r="S48" i="1"/>
  <c r="Q48" i="1"/>
  <c r="F20" i="1"/>
  <c r="G20" i="1" s="1"/>
  <c r="F12" i="1"/>
  <c r="S12" i="1" s="1"/>
  <c r="R12" i="1"/>
  <c r="G58" i="2" l="1"/>
  <c r="O58" i="2"/>
  <c r="H58" i="2"/>
  <c r="S58" i="2" s="1"/>
  <c r="P58" i="2"/>
  <c r="I58" i="2"/>
  <c r="Q58" i="2"/>
  <c r="J58" i="2"/>
  <c r="R58" i="2"/>
  <c r="K58" i="2"/>
  <c r="H14" i="1"/>
  <c r="J14" i="1" s="1"/>
  <c r="G28" i="2"/>
  <c r="H5" i="2"/>
  <c r="I5" i="2" s="1"/>
  <c r="J5" i="2" s="1"/>
  <c r="K5" i="2" s="1"/>
  <c r="L5" i="2" s="1"/>
  <c r="M5" i="2" s="1"/>
  <c r="N5" i="2" s="1"/>
  <c r="O5" i="2" s="1"/>
  <c r="P5" i="2" s="1"/>
  <c r="Q5" i="2" s="1"/>
  <c r="R5" i="2" s="1"/>
  <c r="R28" i="2" s="1"/>
  <c r="J41" i="1"/>
  <c r="H48" i="1"/>
  <c r="L27" i="2"/>
  <c r="M4" i="2"/>
  <c r="N4" i="2" s="1"/>
  <c r="O4" i="2" s="1"/>
  <c r="P4" i="2" s="1"/>
  <c r="Q4" i="2" s="1"/>
  <c r="R4" i="2" s="1"/>
  <c r="R27" i="2" s="1"/>
  <c r="J27" i="2"/>
  <c r="K27" i="2"/>
  <c r="I27" i="2"/>
  <c r="H27" i="2"/>
  <c r="G27" i="2"/>
  <c r="F30" i="2"/>
  <c r="N14" i="1" l="1"/>
  <c r="O14" i="1"/>
  <c r="F37" i="2"/>
  <c r="F45" i="2" s="1"/>
  <c r="F59" i="2"/>
  <c r="M14" i="1"/>
  <c r="M48" i="1"/>
  <c r="I48" i="1"/>
  <c r="T48" i="1" s="1"/>
  <c r="G30" i="2"/>
  <c r="I28" i="2"/>
  <c r="I30" i="2" s="1"/>
  <c r="H28" i="2"/>
  <c r="H30" i="2" s="1"/>
  <c r="O28" i="2"/>
  <c r="L28" i="2"/>
  <c r="L30" i="2" s="1"/>
  <c r="Q28" i="2"/>
  <c r="K28" i="2"/>
  <c r="K30" i="2" s="1"/>
  <c r="N28" i="2"/>
  <c r="J28" i="2"/>
  <c r="J30" i="2" s="1"/>
  <c r="M28" i="2"/>
  <c r="O27" i="2"/>
  <c r="P28" i="2"/>
  <c r="R30" i="2"/>
  <c r="N27" i="2"/>
  <c r="Q27" i="2"/>
  <c r="M27" i="2"/>
  <c r="P27" i="2"/>
  <c r="H12" i="1"/>
  <c r="M12" i="1" s="1"/>
  <c r="F70" i="2" l="1"/>
  <c r="F63" i="2"/>
  <c r="F77" i="2" s="1"/>
  <c r="F79" i="2" s="1"/>
  <c r="F46" i="2"/>
  <c r="H37" i="2"/>
  <c r="H45" i="2" s="1"/>
  <c r="H59" i="2"/>
  <c r="J37" i="2"/>
  <c r="J45" i="2" s="1"/>
  <c r="J46" i="2" s="1"/>
  <c r="J59" i="2"/>
  <c r="G37" i="2"/>
  <c r="G45" i="2" s="1"/>
  <c r="G59" i="2"/>
  <c r="F66" i="2"/>
  <c r="F68" i="2" s="1"/>
  <c r="I37" i="2"/>
  <c r="I45" i="2" s="1"/>
  <c r="I59" i="2"/>
  <c r="R37" i="2"/>
  <c r="R45" i="2" s="1"/>
  <c r="R46" i="2" s="1"/>
  <c r="R59" i="2"/>
  <c r="K37" i="2"/>
  <c r="K45" i="2" s="1"/>
  <c r="K59" i="2"/>
  <c r="O30" i="2"/>
  <c r="L37" i="2"/>
  <c r="L45" i="2" s="1"/>
  <c r="L59" i="2"/>
  <c r="J48" i="1"/>
  <c r="N48" i="1" s="1"/>
  <c r="O48" i="1" s="1"/>
  <c r="E55" i="1" s="1"/>
  <c r="Q30" i="2"/>
  <c r="N30" i="2"/>
  <c r="M30" i="2"/>
  <c r="J70" i="2"/>
  <c r="J71" i="2" s="1"/>
  <c r="F71" i="2"/>
  <c r="R63" i="2"/>
  <c r="R70" i="2"/>
  <c r="R71" i="2" s="1"/>
  <c r="I70" i="2"/>
  <c r="I71" i="2" s="1"/>
  <c r="P30" i="2"/>
  <c r="J12" i="1"/>
  <c r="O12" i="1" s="1"/>
  <c r="G70" i="2" l="1"/>
  <c r="G71" i="2" s="1"/>
  <c r="G46" i="2"/>
  <c r="R66" i="2"/>
  <c r="R68" i="2" s="1"/>
  <c r="R77" i="2"/>
  <c r="R79" i="2" s="1"/>
  <c r="G63" i="2"/>
  <c r="K63" i="2"/>
  <c r="K46" i="2"/>
  <c r="K70" i="2"/>
  <c r="K71" i="2" s="1"/>
  <c r="H63" i="2"/>
  <c r="H46" i="2"/>
  <c r="I63" i="2"/>
  <c r="I46" i="2"/>
  <c r="L63" i="2"/>
  <c r="L46" i="2"/>
  <c r="J63" i="2"/>
  <c r="E22" i="1"/>
  <c r="N12" i="1"/>
  <c r="O37" i="2"/>
  <c r="O45" i="2" s="1"/>
  <c r="O46" i="2" s="1"/>
  <c r="O59" i="2"/>
  <c r="P37" i="2"/>
  <c r="P45" i="2" s="1"/>
  <c r="P46" i="2" s="1"/>
  <c r="P59" i="2"/>
  <c r="L70" i="2"/>
  <c r="L71" i="2" s="1"/>
  <c r="M37" i="2"/>
  <c r="M45" i="2" s="1"/>
  <c r="M59" i="2"/>
  <c r="S30" i="2"/>
  <c r="N37" i="2"/>
  <c r="N45" i="2" s="1"/>
  <c r="N70" i="2" s="1"/>
  <c r="N71" i="2" s="1"/>
  <c r="N59" i="2"/>
  <c r="H70" i="2"/>
  <c r="H71" i="2" s="1"/>
  <c r="Q37" i="2"/>
  <c r="Q45" i="2" s="1"/>
  <c r="Q59" i="2"/>
  <c r="F55" i="1"/>
  <c r="G55" i="1" s="1"/>
  <c r="E56" i="1"/>
  <c r="E57" i="1" s="1"/>
  <c r="E58" i="1" s="1"/>
  <c r="P63" i="2"/>
  <c r="P70" i="2"/>
  <c r="P71" i="2" s="1"/>
  <c r="G66" i="2" l="1"/>
  <c r="G68" i="2" s="1"/>
  <c r="G77" i="2"/>
  <c r="G79" i="2" s="1"/>
  <c r="M63" i="2"/>
  <c r="M46" i="2"/>
  <c r="J66" i="2"/>
  <c r="J68" i="2" s="1"/>
  <c r="J77" i="2"/>
  <c r="J79" i="2" s="1"/>
  <c r="K66" i="2"/>
  <c r="K68" i="2" s="1"/>
  <c r="K77" i="2"/>
  <c r="K79" i="2" s="1"/>
  <c r="M70" i="2"/>
  <c r="M71" i="2" s="1"/>
  <c r="Q63" i="2"/>
  <c r="Q46" i="2"/>
  <c r="L66" i="2"/>
  <c r="L68" i="2" s="1"/>
  <c r="L77" i="2"/>
  <c r="L79" i="2" s="1"/>
  <c r="P66" i="2"/>
  <c r="P77" i="2"/>
  <c r="P79" i="2" s="1"/>
  <c r="N63" i="2"/>
  <c r="N46" i="2"/>
  <c r="I66" i="2"/>
  <c r="I68" i="2" s="1"/>
  <c r="I77" i="2"/>
  <c r="I79" i="2" s="1"/>
  <c r="H66" i="2"/>
  <c r="H68" i="2" s="1"/>
  <c r="H77" i="2"/>
  <c r="H79" i="2" s="1"/>
  <c r="O70" i="2"/>
  <c r="O71" i="2" s="1"/>
  <c r="O63" i="2"/>
  <c r="Q70" i="2"/>
  <c r="Q71" i="2" s="1"/>
  <c r="S62" i="2"/>
  <c r="S59" i="2"/>
  <c r="T58" i="2"/>
  <c r="F56" i="1"/>
  <c r="G56" i="1" s="1"/>
  <c r="F57" i="1"/>
  <c r="G57" i="1" s="1"/>
  <c r="P68" i="2"/>
  <c r="E59" i="1"/>
  <c r="F58" i="1"/>
  <c r="G58" i="1" s="1"/>
  <c r="O66" i="2" l="1"/>
  <c r="O68" i="2" s="1"/>
  <c r="O77" i="2"/>
  <c r="O79" i="2" s="1"/>
  <c r="N66" i="2"/>
  <c r="N68" i="2" s="1"/>
  <c r="N77" i="2"/>
  <c r="N79" i="2" s="1"/>
  <c r="M66" i="2"/>
  <c r="M68" i="2" s="1"/>
  <c r="M77" i="2"/>
  <c r="M79" i="2" s="1"/>
  <c r="E79" i="2" s="1"/>
  <c r="T63" i="2"/>
  <c r="T70" i="2"/>
  <c r="Q66" i="2"/>
  <c r="Q68" i="2" s="1"/>
  <c r="Q77" i="2"/>
  <c r="Q79" i="2" s="1"/>
  <c r="F59" i="1"/>
  <c r="G59" i="1" s="1"/>
  <c r="E60" i="1"/>
  <c r="E23" i="1"/>
  <c r="F22" i="1"/>
  <c r="E66" i="2" l="1"/>
  <c r="F23" i="1"/>
  <c r="G23" i="1" s="1"/>
  <c r="F60" i="1"/>
  <c r="G60" i="1" s="1"/>
  <c r="E61" i="1"/>
  <c r="E24" i="1"/>
  <c r="E25" i="1" s="1"/>
  <c r="G22" i="1"/>
  <c r="H25" i="1" l="1"/>
  <c r="F61" i="1"/>
  <c r="G61" i="1" s="1"/>
  <c r="E62" i="1"/>
  <c r="F24" i="1"/>
  <c r="G24" i="1" s="1"/>
  <c r="F25" i="1"/>
  <c r="G25" i="1" s="1"/>
  <c r="E26" i="1"/>
  <c r="F62" i="1" l="1"/>
  <c r="G62" i="1" s="1"/>
  <c r="E63" i="1"/>
  <c r="F26" i="1"/>
  <c r="E27" i="1"/>
  <c r="F27" i="1" s="1"/>
  <c r="G27" i="1" s="1"/>
  <c r="F63" i="1" l="1"/>
  <c r="G63" i="1" s="1"/>
  <c r="E64" i="1"/>
  <c r="G26" i="1"/>
  <c r="E28" i="1"/>
  <c r="F28" i="1" s="1"/>
  <c r="F64" i="1" l="1"/>
  <c r="G64" i="1" s="1"/>
  <c r="E65" i="1"/>
  <c r="G28" i="1"/>
  <c r="E29" i="1"/>
  <c r="F29" i="1" s="1"/>
  <c r="F65" i="1" l="1"/>
  <c r="G65" i="1" s="1"/>
  <c r="E66" i="1"/>
  <c r="G29" i="1"/>
  <c r="E30" i="1"/>
  <c r="F30" i="1" s="1"/>
  <c r="G30" i="1" s="1"/>
  <c r="F66" i="1" l="1"/>
  <c r="E67" i="1"/>
  <c r="E31" i="1"/>
  <c r="F31" i="1" s="1"/>
  <c r="F67" i="1" l="1"/>
  <c r="G67" i="1" s="1"/>
  <c r="E68" i="1"/>
  <c r="F68" i="1" s="1"/>
  <c r="G68" i="1" s="1"/>
  <c r="G66" i="1"/>
  <c r="G31" i="1"/>
  <c r="E32" i="1"/>
  <c r="F32" i="1" s="1"/>
  <c r="G32" i="1" s="1"/>
  <c r="G69" i="1" l="1"/>
  <c r="F69" i="1"/>
  <c r="E33" i="1"/>
  <c r="F33" i="1" l="1"/>
  <c r="G33" i="1" s="1"/>
  <c r="E34" i="1"/>
  <c r="E37" i="1"/>
  <c r="F37" i="1" s="1"/>
  <c r="G37" i="1" s="1"/>
  <c r="E35" i="1" l="1"/>
  <c r="F34" i="1"/>
  <c r="G34" i="1" s="1"/>
  <c r="E38" i="1"/>
  <c r="F38" i="1" s="1"/>
  <c r="G38" i="1" s="1"/>
  <c r="E36" i="1" l="1"/>
  <c r="F36" i="1" s="1"/>
  <c r="G36" i="1" s="1"/>
  <c r="F35" i="1"/>
  <c r="G35" i="1" s="1"/>
  <c r="E39" i="1"/>
  <c r="F39" i="1" s="1"/>
  <c r="G39" i="1" s="1"/>
  <c r="E40" i="1" l="1"/>
  <c r="F40" i="1" l="1"/>
  <c r="F41" i="1" s="1"/>
  <c r="G40" i="1" l="1"/>
  <c r="G41" i="1" s="1"/>
  <c r="G1" i="1" s="1"/>
  <c r="G3" i="1" l="1"/>
  <c r="G5" i="1" s="1"/>
  <c r="H1" i="1"/>
  <c r="G7" i="1" l="1"/>
  <c r="G6" i="1"/>
  <c r="L6" i="1" s="1"/>
</calcChain>
</file>

<file path=xl/sharedStrings.xml><?xml version="1.0" encoding="utf-8"?>
<sst xmlns="http://schemas.openxmlformats.org/spreadsheetml/2006/main" count="208" uniqueCount="161">
  <si>
    <t>Ore</t>
  </si>
  <si>
    <t>Grade</t>
  </si>
  <si>
    <t>Recovery</t>
  </si>
  <si>
    <t>Rev</t>
  </si>
  <si>
    <t>Profit</t>
  </si>
  <si>
    <t>Price / Lb</t>
  </si>
  <si>
    <t>Mine</t>
  </si>
  <si>
    <t>Life  Yrs.</t>
  </si>
  <si>
    <t>Daily</t>
  </si>
  <si>
    <t>Discount rate</t>
  </si>
  <si>
    <t>Year</t>
  </si>
  <si>
    <t>Present</t>
  </si>
  <si>
    <t>Value</t>
  </si>
  <si>
    <t>Effective Tax Rate</t>
  </si>
  <si>
    <t>PreTax</t>
  </si>
  <si>
    <t>AfterTax</t>
  </si>
  <si>
    <t>Lbs /</t>
  </si>
  <si>
    <t>Million</t>
  </si>
  <si>
    <t>Rev /</t>
  </si>
  <si>
    <t>Cost /</t>
  </si>
  <si>
    <t>Profit /</t>
  </si>
  <si>
    <t>Lbs  Ore /</t>
  </si>
  <si>
    <t>Cost / lb</t>
  </si>
  <si>
    <t>of CU</t>
  </si>
  <si>
    <t>Open Pit Mine</t>
  </si>
  <si>
    <t>Ton</t>
  </si>
  <si>
    <t>Prod. Ton</t>
  </si>
  <si>
    <t>Copper</t>
  </si>
  <si>
    <t>EBITDA</t>
  </si>
  <si>
    <t>(mil)</t>
  </si>
  <si>
    <t>$239M pa life of</t>
  </si>
  <si>
    <t>mine average</t>
  </si>
  <si>
    <t>NPV of EBITDA</t>
  </si>
  <si>
    <t xml:space="preserve">Open Pit + Underground NPV </t>
  </si>
  <si>
    <t>Gold</t>
  </si>
  <si>
    <t>Silver</t>
  </si>
  <si>
    <t>copper Grade</t>
  </si>
  <si>
    <t>Contained CU</t>
  </si>
  <si>
    <t>Contained Au</t>
  </si>
  <si>
    <t>Contained Ag</t>
  </si>
  <si>
    <t>Recovered Cu</t>
  </si>
  <si>
    <t>Recovered Au</t>
  </si>
  <si>
    <t>Payable Cu</t>
  </si>
  <si>
    <t>Payable Au</t>
  </si>
  <si>
    <t>Payable Ag</t>
  </si>
  <si>
    <t>Copper reserve tail</t>
  </si>
  <si>
    <t>Gross Copper Rev</t>
  </si>
  <si>
    <t>Gross Au Rev</t>
  </si>
  <si>
    <t>Gross Ag Rev</t>
  </si>
  <si>
    <t>Total Gross Rev</t>
  </si>
  <si>
    <t>Treatment charges</t>
  </si>
  <si>
    <t>Refininf charges</t>
  </si>
  <si>
    <t>Transport charges</t>
  </si>
  <si>
    <t>Total TD, RC,Shipping</t>
  </si>
  <si>
    <t>NSR</t>
  </si>
  <si>
    <t>RGGS Royalty</t>
  </si>
  <si>
    <t>Mining Cost</t>
  </si>
  <si>
    <t>Milling Cost</t>
  </si>
  <si>
    <t>G&amp;A Cost</t>
  </si>
  <si>
    <t>Total Opex</t>
  </si>
  <si>
    <t>Plant</t>
  </si>
  <si>
    <t>Mine Devlopment</t>
  </si>
  <si>
    <t>Off Site Infras</t>
  </si>
  <si>
    <t>Indirects</t>
  </si>
  <si>
    <t>Contingency</t>
  </si>
  <si>
    <t>First Equip Leases</t>
  </si>
  <si>
    <t>Initial Capex</t>
  </si>
  <si>
    <t>Sustaining Capx</t>
  </si>
  <si>
    <t>Taxes</t>
  </si>
  <si>
    <t>Period</t>
  </si>
  <si>
    <t>D. Rate</t>
  </si>
  <si>
    <t>Underground Mine Proved &amp; Probable &amp; Credits</t>
  </si>
  <si>
    <t>Nevada Copper Market Cap</t>
  </si>
  <si>
    <t>Discount</t>
  </si>
  <si>
    <t>NPV / Market Cap</t>
  </si>
  <si>
    <t>Current Share Price</t>
  </si>
  <si>
    <t>NPV Share Price</t>
  </si>
  <si>
    <t>Open Pit Proven &amp; Probable</t>
  </si>
  <si>
    <t>Nevada Copper Underground Mine</t>
  </si>
  <si>
    <t>Price of</t>
  </si>
  <si>
    <t>Alternatively</t>
  </si>
  <si>
    <t>Canadian $</t>
  </si>
  <si>
    <t>Recoverable</t>
  </si>
  <si>
    <t>U. Ground</t>
  </si>
  <si>
    <t>Current Assets</t>
  </si>
  <si>
    <t>Current Liabilities</t>
  </si>
  <si>
    <t>Subsequent Events</t>
  </si>
  <si>
    <t>Oct 5 Pala Investments</t>
  </si>
  <si>
    <t>Nov 24  K&amp;W IPEX Bank</t>
  </si>
  <si>
    <t>Nov 24 Undisclosed lenders</t>
  </si>
  <si>
    <t xml:space="preserve">approx 1/2 is pretax Op Cash Flow </t>
  </si>
  <si>
    <t>Pre-Tax Op Cash Flow:</t>
  </si>
  <si>
    <t>Stockpile:</t>
  </si>
  <si>
    <t>Ongoing U Ground Mining:</t>
  </si>
  <si>
    <t>Sept 30, 2020 Quarterly Report</t>
  </si>
  <si>
    <t>Deficit end of qtr 1 2021</t>
  </si>
  <si>
    <t>Pre-Tax Op Cash Flow</t>
  </si>
  <si>
    <t>164k tons @ .40% grade x $5k / ton</t>
  </si>
  <si>
    <t>=tot rev of $3,280K approx 1/2 pre</t>
  </si>
  <si>
    <t>tax cash flow = $1,640K.  Add back</t>
  </si>
  <si>
    <t>4000 t/d @ 1.25% grade x</t>
  </si>
  <si>
    <t>$6,400 / ton = $320,000/day</t>
  </si>
  <si>
    <t xml:space="preserve">cost to mine of approx $2,000K </t>
  </si>
  <si>
    <t>Measured &amp; Indicated &amp; Inferred</t>
  </si>
  <si>
    <t>$160k x 180 days</t>
  </si>
  <si>
    <t>New  Dec 9 2020</t>
  </si>
  <si>
    <t>K&amp;W IPEX Bank</t>
  </si>
  <si>
    <t>K&amp;W IPEX Bank  CL to LT Debt</t>
  </si>
  <si>
    <t>Concord</t>
  </si>
  <si>
    <t>Pala Investments</t>
  </si>
  <si>
    <t>Loan with 12 month grace period</t>
  </si>
  <si>
    <t>Measured &amp; Indicated</t>
  </si>
  <si>
    <t>Thousand</t>
  </si>
  <si>
    <t xml:space="preserve">Ore Feed </t>
  </si>
  <si>
    <t>Post-Tax Operating C.Flow / Total Gross Rev</t>
  </si>
  <si>
    <t xml:space="preserve">Pre-Tax Operating C. Flow - Capx </t>
  </si>
  <si>
    <t>(Pre-Tax Operating C. Flow - Capx) / TGR</t>
  </si>
  <si>
    <t>NPV mil</t>
  </si>
  <si>
    <t>Pre-Tax Operating C.Flow (EBITDA)</t>
  </si>
  <si>
    <t>Long Term Debt</t>
  </si>
  <si>
    <r>
      <t xml:space="preserve">Cost </t>
    </r>
    <r>
      <rPr>
        <sz val="8"/>
        <color theme="1"/>
        <rFont val="Calibri"/>
        <family val="2"/>
        <scheme val="minor"/>
      </rPr>
      <t>(AISC)</t>
    </r>
  </si>
  <si>
    <t xml:space="preserve">/ Ton </t>
  </si>
  <si>
    <t xml:space="preserve">Daily </t>
  </si>
  <si>
    <t xml:space="preserve">Yearly </t>
  </si>
  <si>
    <r>
      <t xml:space="preserve">Post tax Operating C. Flow </t>
    </r>
    <r>
      <rPr>
        <b/>
        <sz val="11"/>
        <color theme="1"/>
        <rFont val="Calibri"/>
        <family val="2"/>
      </rPr>
      <t>(EBIDA- capx)</t>
    </r>
  </si>
  <si>
    <t>Cu lbs /</t>
  </si>
  <si>
    <t>Cu</t>
  </si>
  <si>
    <t>Cu lbs  /</t>
  </si>
  <si>
    <t>Payback</t>
  </si>
  <si>
    <t xml:space="preserve">NPV of Open Pit Mining - 56000 Tons of Ore / 360 Days / Yr. </t>
  </si>
  <si>
    <t>Profit (360 d)</t>
  </si>
  <si>
    <t>NPV of Underground Mine Proved &amp; Probabler 5000st / day 360 days / Year</t>
  </si>
  <si>
    <t>AISC</t>
  </si>
  <si>
    <t>AISC / Total Gross Revenue</t>
  </si>
  <si>
    <r>
      <t xml:space="preserve">Ton </t>
    </r>
    <r>
      <rPr>
        <sz val="9"/>
        <color theme="1"/>
        <rFont val="Calibri"/>
        <family val="2"/>
        <scheme val="minor"/>
      </rPr>
      <t>(AISC)</t>
    </r>
  </si>
  <si>
    <t>Tax / Total Gross Revenue</t>
  </si>
  <si>
    <t>Market Cap / NPV</t>
  </si>
  <si>
    <t>Working Capital ($000) Estimate End of Q1 2021</t>
  </si>
  <si>
    <t>Note: 1825000 ton / yr = 5000 ton / day</t>
  </si>
  <si>
    <t>Per day 000</t>
  </si>
  <si>
    <t>$C</t>
  </si>
  <si>
    <t>Interest expense</t>
  </si>
  <si>
    <t>Tax benefit at 30%</t>
  </si>
  <si>
    <t>tax</t>
  </si>
  <si>
    <t>EBDA - capx</t>
  </si>
  <si>
    <t>NPV</t>
  </si>
  <si>
    <t>Daily aisc</t>
  </si>
  <si>
    <t>Yearly aisc</t>
  </si>
  <si>
    <t>$US/$C</t>
  </si>
  <si>
    <t>=</t>
  </si>
  <si>
    <t>Canadian @$.17C/sh</t>
  </si>
  <si>
    <t>Rev - aisc</t>
  </si>
  <si>
    <t>Rev - AISC -</t>
  </si>
  <si>
    <t>1/3AISC</t>
  </si>
  <si>
    <t>= Net Profit Approx.</t>
  </si>
  <si>
    <t>Rev - aisc -1/3</t>
  </si>
  <si>
    <t>aisc = N Prof assum</t>
  </si>
  <si>
    <t>Rev - 1.33AISC = Total Cost approximation</t>
  </si>
  <si>
    <t>All Data From Jan 2019 Pre Feasability Study.  Page 22-13</t>
  </si>
  <si>
    <t>New Spreadsheet Data:  AISC Does Not Equal Total Cost.  Adding 1/3 AISC To Cost</t>
  </si>
  <si>
    <t>Kirkland Lake &amp; Barrick:  AISC Equals Approximately 2/3 of Total Cost.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</si>
</sst>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;\-&quot;$&quot;#,##0"/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.000%"/>
    <numFmt numFmtId="166" formatCode="&quot;$&quot;#,##0"/>
    <numFmt numFmtId="167" formatCode="_-&quot;$&quot;* #,##0.0_-;\-&quot;$&quot;* #,##0.0_-;_-&quot;$&quot;* &quot;-&quot;??_-;_-@_-"/>
    <numFmt numFmtId="168" formatCode="0.000"/>
    <numFmt numFmtId="169" formatCode="&quot;$&quot;#,##0.00"/>
    <numFmt numFmtId="170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9" fontId="0" fillId="0" borderId="0" xfId="0" applyNumberFormat="1"/>
    <xf numFmtId="10" fontId="0" fillId="0" borderId="0" xfId="0" applyNumberFormat="1"/>
    <xf numFmtId="2" fontId="0" fillId="0" borderId="0" xfId="0" applyNumberFormat="1"/>
    <xf numFmtId="164" fontId="0" fillId="0" borderId="0" xfId="1" applyNumberFormat="1" applyFont="1"/>
    <xf numFmtId="44" fontId="0" fillId="0" borderId="0" xfId="1" applyFont="1"/>
    <xf numFmtId="6" fontId="0" fillId="0" borderId="0" xfId="0" applyNumberFormat="1"/>
    <xf numFmtId="44" fontId="0" fillId="0" borderId="0" xfId="0" applyNumberFormat="1"/>
    <xf numFmtId="0" fontId="2" fillId="0" borderId="0" xfId="0" applyFont="1"/>
    <xf numFmtId="164" fontId="0" fillId="0" borderId="0" xfId="0" applyNumberFormat="1"/>
    <xf numFmtId="0" fontId="0" fillId="0" borderId="1" xfId="0" applyBorder="1"/>
    <xf numFmtId="2" fontId="2" fillId="0" borderId="0" xfId="0" applyNumberFormat="1" applyFont="1"/>
    <xf numFmtId="164" fontId="2" fillId="0" borderId="0" xfId="1" applyNumberFormat="1" applyFont="1"/>
    <xf numFmtId="165" fontId="2" fillId="0" borderId="0" xfId="0" applyNumberFormat="1" applyFont="1"/>
    <xf numFmtId="9" fontId="2" fillId="0" borderId="0" xfId="0" applyNumberFormat="1" applyFont="1"/>
    <xf numFmtId="166" fontId="0" fillId="0" borderId="0" xfId="1" applyNumberFormat="1" applyFont="1"/>
    <xf numFmtId="6" fontId="0" fillId="0" borderId="0" xfId="1" applyNumberFormat="1" applyFont="1"/>
    <xf numFmtId="6" fontId="0" fillId="0" borderId="1" xfId="1" applyNumberFormat="1" applyFont="1" applyBorder="1"/>
    <xf numFmtId="6" fontId="0" fillId="0" borderId="1" xfId="0" applyNumberFormat="1" applyBorder="1"/>
    <xf numFmtId="1" fontId="0" fillId="0" borderId="0" xfId="0" applyNumberFormat="1"/>
    <xf numFmtId="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0" fontId="3" fillId="0" borderId="0" xfId="0" applyFont="1"/>
    <xf numFmtId="44" fontId="0" fillId="0" borderId="0" xfId="1" applyNumberFormat="1" applyFont="1"/>
    <xf numFmtId="44" fontId="2" fillId="0" borderId="0" xfId="1" applyNumberFormat="1" applyFont="1"/>
    <xf numFmtId="167" fontId="2" fillId="0" borderId="0" xfId="1" applyNumberFormat="1" applyFont="1"/>
    <xf numFmtId="164" fontId="2" fillId="0" borderId="0" xfId="0" applyNumberFormat="1" applyFont="1"/>
    <xf numFmtId="168" fontId="0" fillId="0" borderId="0" xfId="0" applyNumberFormat="1"/>
    <xf numFmtId="6" fontId="0" fillId="0" borderId="0" xfId="1" applyNumberFormat="1" applyFont="1" applyBorder="1"/>
    <xf numFmtId="6" fontId="0" fillId="0" borderId="0" xfId="0" applyNumberFormat="1" applyBorder="1"/>
    <xf numFmtId="166" fontId="0" fillId="0" borderId="1" xfId="0" applyNumberFormat="1" applyBorder="1"/>
    <xf numFmtId="1" fontId="2" fillId="0" borderId="0" xfId="0" applyNumberFormat="1" applyFont="1"/>
    <xf numFmtId="6" fontId="2" fillId="0" borderId="0" xfId="0" applyNumberFormat="1" applyFont="1"/>
    <xf numFmtId="0" fontId="4" fillId="0" borderId="0" xfId="0" applyFont="1"/>
    <xf numFmtId="10" fontId="4" fillId="0" borderId="0" xfId="2" applyNumberFormat="1" applyFont="1" applyFill="1" applyBorder="1"/>
    <xf numFmtId="10" fontId="4" fillId="0" borderId="0" xfId="0" applyNumberFormat="1" applyFont="1"/>
    <xf numFmtId="1" fontId="4" fillId="0" borderId="0" xfId="0" applyNumberFormat="1" applyFont="1"/>
    <xf numFmtId="166" fontId="4" fillId="0" borderId="0" xfId="0" applyNumberFormat="1" applyFont="1"/>
    <xf numFmtId="166" fontId="4" fillId="0" borderId="1" xfId="0" applyNumberFormat="1" applyFont="1" applyBorder="1"/>
    <xf numFmtId="0" fontId="5" fillId="0" borderId="0" xfId="0" applyFont="1"/>
    <xf numFmtId="166" fontId="5" fillId="0" borderId="0" xfId="0" applyNumberFormat="1" applyFont="1"/>
    <xf numFmtId="9" fontId="4" fillId="0" borderId="0" xfId="0" applyNumberFormat="1" applyFont="1"/>
    <xf numFmtId="166" fontId="4" fillId="0" borderId="0" xfId="1" applyNumberFormat="1" applyFont="1" applyFill="1" applyBorder="1"/>
    <xf numFmtId="166" fontId="6" fillId="0" borderId="0" xfId="0" applyNumberFormat="1" applyFont="1"/>
    <xf numFmtId="6" fontId="2" fillId="0" borderId="1" xfId="0" applyNumberFormat="1" applyFont="1" applyBorder="1"/>
    <xf numFmtId="6" fontId="2" fillId="0" borderId="0" xfId="1" applyNumberFormat="1" applyFont="1" applyBorder="1"/>
    <xf numFmtId="6" fontId="0" fillId="0" borderId="0" xfId="0" applyNumberFormat="1" applyFont="1"/>
    <xf numFmtId="6" fontId="0" fillId="0" borderId="0" xfId="0" applyNumberFormat="1" applyAlignment="1"/>
    <xf numFmtId="14" fontId="0" fillId="0" borderId="0" xfId="0" applyNumberFormat="1"/>
    <xf numFmtId="0" fontId="0" fillId="0" borderId="0" xfId="0" applyFont="1"/>
    <xf numFmtId="0" fontId="7" fillId="0" borderId="0" xfId="0" applyFont="1"/>
    <xf numFmtId="0" fontId="7" fillId="0" borderId="0" xfId="0" quotePrefix="1" applyFont="1"/>
    <xf numFmtId="0" fontId="8" fillId="0" borderId="0" xfId="0" applyFont="1"/>
    <xf numFmtId="166" fontId="0" fillId="0" borderId="0" xfId="0" applyNumberFormat="1" applyBorder="1"/>
    <xf numFmtId="166" fontId="0" fillId="0" borderId="0" xfId="1" applyNumberFormat="1" applyFont="1" applyBorder="1"/>
    <xf numFmtId="166" fontId="0" fillId="0" borderId="2" xfId="1" applyNumberFormat="1" applyFont="1" applyBorder="1"/>
    <xf numFmtId="9" fontId="4" fillId="0" borderId="0" xfId="2" applyFont="1"/>
    <xf numFmtId="169" fontId="4" fillId="0" borderId="0" xfId="0" applyNumberFormat="1" applyFont="1"/>
    <xf numFmtId="169" fontId="4" fillId="0" borderId="0" xfId="1" applyNumberFormat="1" applyFont="1"/>
    <xf numFmtId="170" fontId="4" fillId="0" borderId="0" xfId="3" applyNumberFormat="1" applyFont="1"/>
    <xf numFmtId="170" fontId="4" fillId="0" borderId="0" xfId="3" applyNumberFormat="1" applyFont="1" applyFill="1" applyBorder="1"/>
    <xf numFmtId="164" fontId="4" fillId="0" borderId="0" xfId="0" applyNumberFormat="1" applyFont="1"/>
    <xf numFmtId="164" fontId="4" fillId="0" borderId="1" xfId="0" applyNumberFormat="1" applyFont="1" applyBorder="1"/>
    <xf numFmtId="0" fontId="0" fillId="0" borderId="0" xfId="0" quotePrefix="1"/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0" fontId="10" fillId="0" borderId="0" xfId="0" applyFont="1"/>
    <xf numFmtId="9" fontId="6" fillId="0" borderId="0" xfId="2" applyFont="1"/>
    <xf numFmtId="9" fontId="0" fillId="0" borderId="0" xfId="2" applyFont="1"/>
    <xf numFmtId="0" fontId="6" fillId="0" borderId="0" xfId="0" applyFont="1"/>
    <xf numFmtId="0" fontId="11" fillId="0" borderId="0" xfId="0" applyFont="1"/>
    <xf numFmtId="0" fontId="12" fillId="0" borderId="0" xfId="0" quotePrefix="1" applyFont="1"/>
    <xf numFmtId="44" fontId="2" fillId="0" borderId="0" xfId="0" applyNumberFormat="1" applyFont="1"/>
    <xf numFmtId="166" fontId="0" fillId="0" borderId="0" xfId="1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6" fontId="2" fillId="0" borderId="0" xfId="0" applyNumberFormat="1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14</xdr:row>
      <xdr:rowOff>45720</xdr:rowOff>
    </xdr:from>
    <xdr:to>
      <xdr:col>19</xdr:col>
      <xdr:colOff>508438</xdr:colOff>
      <xdr:row>42</xdr:row>
      <xdr:rowOff>84267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BF01F5-8932-4803-9ECA-4C13983B4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4720" y="2606040"/>
          <a:ext cx="5060118" cy="5159187"/>
        </a:xfrm>
        <a:prstGeom prst="rect">
          <a:avLst/>
        </a:prstGeom>
      </xdr:spPr>
    </xdr:pic>
    <xdr:clientData/>
  </xdr:twoCellAnchor>
  <xdr:twoCellAnchor editAs="oneCell">
    <xdr:from>
      <xdr:col>10</xdr:col>
      <xdr:colOff>203835</xdr:colOff>
      <xdr:row>50</xdr:row>
      <xdr:rowOff>179070</xdr:rowOff>
    </xdr:from>
    <xdr:to>
      <xdr:col>17</xdr:col>
      <xdr:colOff>33110</xdr:colOff>
      <xdr:row>61</xdr:row>
      <xdr:rowOff>49693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A3B3DD6-2C7E-4DA5-A331-0BD019AAC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9589770"/>
          <a:ext cx="5142041" cy="18613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45720</xdr:rowOff>
    </xdr:from>
    <xdr:to>
      <xdr:col>15</xdr:col>
      <xdr:colOff>352195</xdr:colOff>
      <xdr:row>89</xdr:row>
      <xdr:rowOff>7903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7D19C5B-80E9-4B4E-972E-206349367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" y="12481560"/>
          <a:ext cx="9274344" cy="3254022"/>
        </a:xfrm>
        <a:prstGeom prst="rect">
          <a:avLst/>
        </a:prstGeom>
      </xdr:spPr>
    </xdr:pic>
    <xdr:clientData/>
  </xdr:twoCellAnchor>
  <xdr:twoCellAnchor editAs="oneCell">
    <xdr:from>
      <xdr:col>1</xdr:col>
      <xdr:colOff>160020</xdr:colOff>
      <xdr:row>92</xdr:row>
      <xdr:rowOff>45720</xdr:rowOff>
    </xdr:from>
    <xdr:to>
      <xdr:col>15</xdr:col>
      <xdr:colOff>165377</xdr:colOff>
      <xdr:row>136</xdr:row>
      <xdr:rowOff>122481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CE2744-4300-40E4-A266-A1233A00C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16504920"/>
          <a:ext cx="8916173" cy="6477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D7E4D-DC5C-4A5F-9B8F-C0E6ACC73F40}">
  <dimension ref="B1:Z166"/>
  <sheetViews>
    <sheetView tabSelected="1" zoomScaleNormal="100" workbookViewId="0">
      <selection activeCell="E25" sqref="E25"/>
    </sheetView>
  </sheetViews>
  <sheetFormatPr defaultRowHeight="14.4" x14ac:dyDescent="0.3"/>
  <cols>
    <col min="1" max="1" width="1.88671875" customWidth="1"/>
    <col min="3" max="3" width="6.109375" customWidth="1"/>
    <col min="5" max="5" width="8.33203125" customWidth="1"/>
    <col min="6" max="6" width="8.88671875" customWidth="1"/>
    <col min="7" max="7" width="9.21875" customWidth="1"/>
    <col min="8" max="8" width="8.88671875" customWidth="1"/>
    <col min="9" max="9" width="8.33203125" customWidth="1"/>
    <col min="10" max="10" width="8" customWidth="1"/>
    <col min="11" max="11" width="1.88671875" customWidth="1"/>
    <col min="12" max="12" width="8.5546875" customWidth="1"/>
    <col min="13" max="13" width="11.88671875" bestFit="1" customWidth="1"/>
    <col min="14" max="14" width="14.109375" bestFit="1" customWidth="1"/>
    <col min="15" max="15" width="17.88671875" bestFit="1" customWidth="1"/>
    <col min="16" max="16" width="15.109375" bestFit="1" customWidth="1"/>
    <col min="17" max="17" width="6.77734375" customWidth="1"/>
    <col min="19" max="19" width="10.77734375" customWidth="1"/>
    <col min="20" max="20" width="11.21875" bestFit="1" customWidth="1"/>
    <col min="22" max="22" width="9.6640625" customWidth="1"/>
    <col min="23" max="23" width="1.88671875" customWidth="1"/>
    <col min="24" max="24" width="12" customWidth="1"/>
    <col min="25" max="25" width="14.33203125" customWidth="1"/>
    <col min="29" max="29" width="13.109375" customWidth="1"/>
    <col min="30" max="30" width="9.6640625" customWidth="1"/>
  </cols>
  <sheetData>
    <row r="1" spans="2:22" x14ac:dyDescent="0.3">
      <c r="B1" s="8" t="s">
        <v>79</v>
      </c>
      <c r="D1" s="8" t="s">
        <v>33</v>
      </c>
      <c r="G1" s="6">
        <f>G41+'Underground detail'!E66</f>
        <v>1030.823897803094</v>
      </c>
      <c r="H1" s="6">
        <f>G1/L2</f>
        <v>1321.5690997475565</v>
      </c>
      <c r="I1" t="s">
        <v>140</v>
      </c>
    </row>
    <row r="2" spans="2:22" x14ac:dyDescent="0.3">
      <c r="B2" s="8" t="s">
        <v>27</v>
      </c>
      <c r="E2" t="s">
        <v>119</v>
      </c>
      <c r="G2">
        <v>107</v>
      </c>
      <c r="J2" t="s">
        <v>148</v>
      </c>
      <c r="K2" s="64" t="s">
        <v>149</v>
      </c>
      <c r="L2">
        <v>0.78</v>
      </c>
      <c r="N2" s="8" t="s">
        <v>159</v>
      </c>
    </row>
    <row r="3" spans="2:22" x14ac:dyDescent="0.3">
      <c r="B3" s="5">
        <v>3.75</v>
      </c>
      <c r="D3" s="8"/>
      <c r="E3" t="s">
        <v>81</v>
      </c>
      <c r="G3" s="33">
        <f>(G1-G2)/L2</f>
        <v>1184.3896125680692</v>
      </c>
      <c r="H3" s="64"/>
      <c r="O3" t="s">
        <v>157</v>
      </c>
    </row>
    <row r="4" spans="2:22" x14ac:dyDescent="0.3">
      <c r="D4" s="8" t="s">
        <v>72</v>
      </c>
      <c r="G4" s="45">
        <v>306</v>
      </c>
      <c r="H4" t="s">
        <v>150</v>
      </c>
      <c r="O4" t="s">
        <v>160</v>
      </c>
    </row>
    <row r="5" spans="2:22" x14ac:dyDescent="0.3">
      <c r="D5" s="8"/>
      <c r="E5" s="8" t="s">
        <v>73</v>
      </c>
      <c r="G5" s="6">
        <f>G3-G4</f>
        <v>878.3896125680692</v>
      </c>
      <c r="I5" s="8" t="s">
        <v>75</v>
      </c>
      <c r="L5" s="5">
        <v>0.17</v>
      </c>
    </row>
    <row r="6" spans="2:22" x14ac:dyDescent="0.3">
      <c r="D6" s="8"/>
      <c r="E6" s="8" t="s">
        <v>74</v>
      </c>
      <c r="G6" s="19">
        <f>G3/G4</f>
        <v>3.8705542894381346</v>
      </c>
      <c r="I6" s="8" t="s">
        <v>76</v>
      </c>
      <c r="L6" s="5">
        <f>L5*G6</f>
        <v>0.65799422920448292</v>
      </c>
    </row>
    <row r="7" spans="2:22" x14ac:dyDescent="0.3">
      <c r="E7" s="8" t="s">
        <v>136</v>
      </c>
      <c r="G7" s="69">
        <f>G4/G3</f>
        <v>0.25836092849253489</v>
      </c>
    </row>
    <row r="9" spans="2:22" x14ac:dyDescent="0.3">
      <c r="B9" s="8" t="s">
        <v>24</v>
      </c>
      <c r="O9" s="8" t="s">
        <v>152</v>
      </c>
    </row>
    <row r="10" spans="2:22" x14ac:dyDescent="0.3">
      <c r="B10" t="s">
        <v>25</v>
      </c>
      <c r="C10" t="s">
        <v>16</v>
      </c>
      <c r="F10" t="s">
        <v>125</v>
      </c>
      <c r="G10" t="s">
        <v>126</v>
      </c>
      <c r="H10" t="s">
        <v>18</v>
      </c>
      <c r="I10" t="s">
        <v>120</v>
      </c>
      <c r="J10" t="s">
        <v>151</v>
      </c>
      <c r="L10" t="s">
        <v>8</v>
      </c>
      <c r="M10" t="s">
        <v>3</v>
      </c>
      <c r="N10" t="s">
        <v>151</v>
      </c>
      <c r="O10" s="8" t="s">
        <v>153</v>
      </c>
      <c r="P10" t="s">
        <v>6</v>
      </c>
      <c r="R10" t="s">
        <v>127</v>
      </c>
      <c r="S10" t="s">
        <v>22</v>
      </c>
      <c r="U10" t="s">
        <v>82</v>
      </c>
    </row>
    <row r="11" spans="2:22" x14ac:dyDescent="0.3">
      <c r="B11" t="s">
        <v>17</v>
      </c>
      <c r="C11" t="s">
        <v>25</v>
      </c>
      <c r="D11" t="s">
        <v>1</v>
      </c>
      <c r="E11" t="s">
        <v>2</v>
      </c>
      <c r="F11" t="s">
        <v>25</v>
      </c>
      <c r="G11" t="s">
        <v>5</v>
      </c>
      <c r="H11" t="s">
        <v>25</v>
      </c>
      <c r="I11" t="s">
        <v>121</v>
      </c>
      <c r="J11" t="s">
        <v>25</v>
      </c>
      <c r="L11" t="s">
        <v>26</v>
      </c>
      <c r="M11" t="s">
        <v>122</v>
      </c>
      <c r="N11" s="67" t="s">
        <v>123</v>
      </c>
      <c r="O11" s="72" t="s">
        <v>154</v>
      </c>
      <c r="P11" t="s">
        <v>7</v>
      </c>
      <c r="R11" t="s">
        <v>25</v>
      </c>
      <c r="S11" t="s">
        <v>23</v>
      </c>
      <c r="U11" t="s">
        <v>0</v>
      </c>
    </row>
    <row r="12" spans="2:22" x14ac:dyDescent="0.3">
      <c r="B12">
        <v>386</v>
      </c>
      <c r="C12">
        <v>2000</v>
      </c>
      <c r="D12" s="2">
        <v>5.0000000000000001E-3</v>
      </c>
      <c r="E12" s="1">
        <v>0.89</v>
      </c>
      <c r="F12" s="3">
        <f>C12*D12*E12</f>
        <v>8.9</v>
      </c>
      <c r="G12" s="24">
        <f>B3</f>
        <v>3.75</v>
      </c>
      <c r="H12" s="24">
        <f>F12*G12</f>
        <v>33.375</v>
      </c>
      <c r="I12" s="24">
        <v>18.7</v>
      </c>
      <c r="J12" s="24">
        <f>H12-I12</f>
        <v>14.675000000000001</v>
      </c>
      <c r="K12" s="9"/>
      <c r="L12" s="19">
        <v>56000</v>
      </c>
      <c r="M12" s="4">
        <f>H12*L12</f>
        <v>1869000</v>
      </c>
      <c r="N12" s="4">
        <f>J12*L12*360</f>
        <v>295848000</v>
      </c>
      <c r="O12" s="12">
        <f>(J12-1/3*I12)*L12*360</f>
        <v>170184000.00000003</v>
      </c>
      <c r="P12">
        <f>B12*1000000/(L12*360)</f>
        <v>19.146825396825395</v>
      </c>
      <c r="R12" s="28">
        <f>C12*D12*E12</f>
        <v>8.9</v>
      </c>
      <c r="S12" s="7">
        <f>I12/F12</f>
        <v>2.101123595505618</v>
      </c>
      <c r="U12">
        <f>B12*C12*D12*E12</f>
        <v>3435.4</v>
      </c>
      <c r="V12" t="s">
        <v>6</v>
      </c>
    </row>
    <row r="13" spans="2:22" x14ac:dyDescent="0.3">
      <c r="B13" s="10">
        <v>553</v>
      </c>
      <c r="D13" s="2">
        <v>4.4999999999999997E-3</v>
      </c>
      <c r="E13" s="1" t="s">
        <v>111</v>
      </c>
      <c r="F13" s="3"/>
      <c r="G13" s="24"/>
      <c r="H13" s="24"/>
      <c r="I13" s="24"/>
      <c r="J13" s="24"/>
      <c r="K13" s="9"/>
      <c r="L13" s="19"/>
      <c r="M13" s="4"/>
      <c r="N13" s="4">
        <f t="shared" ref="N13:N14" si="0">J13*L13*360</f>
        <v>0</v>
      </c>
      <c r="O13" s="12">
        <f t="shared" ref="O13:O14" si="1">(J13-1/3*I13)*L13*360</f>
        <v>0</v>
      </c>
      <c r="R13" s="28"/>
      <c r="S13" s="7"/>
      <c r="U13" s="10">
        <f>B48*C48*D48*E48</f>
        <v>740.23079999999993</v>
      </c>
      <c r="V13" t="s">
        <v>83</v>
      </c>
    </row>
    <row r="14" spans="2:22" x14ac:dyDescent="0.3">
      <c r="B14">
        <f>SUM(B12:B13)</f>
        <v>939</v>
      </c>
      <c r="C14">
        <v>2000</v>
      </c>
      <c r="D14" s="2">
        <v>4.7999999999999996E-3</v>
      </c>
      <c r="E14" s="1">
        <v>0.89</v>
      </c>
      <c r="F14" s="3">
        <f>C14*D14*E14</f>
        <v>8.5440000000000005</v>
      </c>
      <c r="G14" s="24">
        <f>G12</f>
        <v>3.75</v>
      </c>
      <c r="H14" s="24">
        <f>F14*G14</f>
        <v>32.04</v>
      </c>
      <c r="I14" s="24">
        <f>I12</f>
        <v>18.7</v>
      </c>
      <c r="J14" s="24">
        <f>H14-I14</f>
        <v>13.34</v>
      </c>
      <c r="K14" s="9"/>
      <c r="L14" s="19">
        <v>56000</v>
      </c>
      <c r="M14" s="4">
        <f>H14*L14</f>
        <v>1794240</v>
      </c>
      <c r="N14" s="4">
        <f t="shared" si="0"/>
        <v>268934400</v>
      </c>
      <c r="O14" s="12">
        <f t="shared" si="1"/>
        <v>143270400</v>
      </c>
      <c r="P14">
        <f>B14*1000000/(L14*340)</f>
        <v>49.317226890756302</v>
      </c>
      <c r="R14" s="28">
        <f>C14*D14*E14</f>
        <v>8.5440000000000005</v>
      </c>
      <c r="S14" s="7">
        <f>I14/R14</f>
        <v>2.1886704119850187</v>
      </c>
      <c r="U14">
        <f>SUM(U12:U13)</f>
        <v>4175.6307999999999</v>
      </c>
    </row>
    <row r="16" spans="2:22" x14ac:dyDescent="0.3">
      <c r="B16" s="8" t="s">
        <v>129</v>
      </c>
      <c r="I16" s="76" t="s">
        <v>80</v>
      </c>
      <c r="J16" s="76"/>
    </row>
    <row r="17" spans="2:10" x14ac:dyDescent="0.3">
      <c r="B17" t="s">
        <v>9</v>
      </c>
      <c r="D17" s="2">
        <v>0.09</v>
      </c>
      <c r="F17" t="s">
        <v>11</v>
      </c>
      <c r="G17" t="s">
        <v>11</v>
      </c>
      <c r="I17" s="75" t="s">
        <v>32</v>
      </c>
      <c r="J17" s="75"/>
    </row>
    <row r="18" spans="2:10" x14ac:dyDescent="0.3">
      <c r="B18" t="s">
        <v>13</v>
      </c>
      <c r="D18" s="1">
        <v>0.1</v>
      </c>
      <c r="E18" t="s">
        <v>4</v>
      </c>
      <c r="F18" t="s">
        <v>12</v>
      </c>
      <c r="G18" t="s">
        <v>12</v>
      </c>
      <c r="I18" t="s">
        <v>30</v>
      </c>
    </row>
    <row r="19" spans="2:10" x14ac:dyDescent="0.3">
      <c r="C19" s="21" t="s">
        <v>10</v>
      </c>
      <c r="D19" s="1"/>
      <c r="E19" t="s">
        <v>29</v>
      </c>
      <c r="F19" t="s">
        <v>14</v>
      </c>
      <c r="G19" t="s">
        <v>15</v>
      </c>
      <c r="I19" s="6" t="s">
        <v>31</v>
      </c>
      <c r="J19" s="6"/>
    </row>
    <row r="20" spans="2:10" x14ac:dyDescent="0.3">
      <c r="B20">
        <v>2021</v>
      </c>
      <c r="C20" s="21">
        <v>1</v>
      </c>
      <c r="D20" s="1"/>
      <c r="E20" s="6">
        <v>-336</v>
      </c>
      <c r="F20" s="16">
        <f t="shared" ref="F20:F40" si="2">(E20*(1+$D$17)^-C20)</f>
        <v>-308.25688073394491</v>
      </c>
      <c r="G20" s="6">
        <f>F20</f>
        <v>-308.25688073394491</v>
      </c>
      <c r="I20" s="6">
        <v>-336</v>
      </c>
      <c r="J20" s="16">
        <f t="shared" ref="J20:J40" si="3">(I20*(1+$D$17)^-C20)</f>
        <v>-308.25688073394491</v>
      </c>
    </row>
    <row r="21" spans="2:10" x14ac:dyDescent="0.3">
      <c r="C21" s="21">
        <v>2</v>
      </c>
      <c r="D21" s="1"/>
      <c r="E21" s="6">
        <v>-336</v>
      </c>
      <c r="F21" s="16">
        <f t="shared" si="2"/>
        <v>-282.80447773756413</v>
      </c>
      <c r="G21" s="6">
        <f>F21</f>
        <v>-282.80447773756413</v>
      </c>
      <c r="I21" s="6">
        <v>-336</v>
      </c>
      <c r="J21" s="16">
        <f t="shared" si="3"/>
        <v>-282.80447773756413</v>
      </c>
    </row>
    <row r="22" spans="2:10" x14ac:dyDescent="0.3">
      <c r="C22">
        <v>3</v>
      </c>
      <c r="E22" s="22">
        <f>O12/1000000</f>
        <v>170.18400000000003</v>
      </c>
      <c r="F22" s="16">
        <f t="shared" si="2"/>
        <v>131.41327337071218</v>
      </c>
      <c r="G22" s="6">
        <f t="shared" ref="G22:G40" si="4">F22*(1-$D$18)</f>
        <v>118.27194603364096</v>
      </c>
      <c r="I22" s="20">
        <v>239</v>
      </c>
      <c r="J22" s="16">
        <f t="shared" si="3"/>
        <v>184.55185173459435</v>
      </c>
    </row>
    <row r="23" spans="2:10" x14ac:dyDescent="0.3">
      <c r="C23" s="21">
        <v>4</v>
      </c>
      <c r="E23" s="20">
        <f>E22</f>
        <v>170.18400000000003</v>
      </c>
      <c r="F23" s="16">
        <f t="shared" si="2"/>
        <v>120.5626361199194</v>
      </c>
      <c r="G23" s="6">
        <f t="shared" si="4"/>
        <v>108.50637250792747</v>
      </c>
      <c r="I23" s="20">
        <v>239</v>
      </c>
      <c r="J23" s="16">
        <f t="shared" si="3"/>
        <v>169.31362544458193</v>
      </c>
    </row>
    <row r="24" spans="2:10" x14ac:dyDescent="0.3">
      <c r="C24" s="21">
        <v>5</v>
      </c>
      <c r="E24" s="20">
        <f t="shared" ref="E24:E40" si="5">E23</f>
        <v>170.18400000000003</v>
      </c>
      <c r="F24" s="16">
        <f t="shared" si="2"/>
        <v>110.60792304579761</v>
      </c>
      <c r="G24" s="6">
        <f t="shared" si="4"/>
        <v>99.547130741217842</v>
      </c>
      <c r="H24" s="65" t="s">
        <v>128</v>
      </c>
      <c r="I24" s="20">
        <v>239</v>
      </c>
      <c r="J24" s="16">
        <f t="shared" si="3"/>
        <v>155.3336013253045</v>
      </c>
    </row>
    <row r="25" spans="2:10" x14ac:dyDescent="0.3">
      <c r="C25">
        <v>6</v>
      </c>
      <c r="E25" s="20">
        <f t="shared" si="5"/>
        <v>170.18400000000003</v>
      </c>
      <c r="F25" s="16">
        <f t="shared" si="2"/>
        <v>101.47515875761248</v>
      </c>
      <c r="G25" s="6">
        <f t="shared" si="4"/>
        <v>91.327642881851233</v>
      </c>
      <c r="H25" s="66">
        <f>SUM(E22:E25)</f>
        <v>680.7360000000001</v>
      </c>
      <c r="I25" s="20">
        <v>239</v>
      </c>
      <c r="J25" s="16">
        <f t="shared" si="3"/>
        <v>142.50789112413258</v>
      </c>
    </row>
    <row r="26" spans="2:10" x14ac:dyDescent="0.3">
      <c r="C26" s="21">
        <v>7</v>
      </c>
      <c r="E26" s="20">
        <f t="shared" si="5"/>
        <v>170.18400000000003</v>
      </c>
      <c r="F26" s="16">
        <f t="shared" si="2"/>
        <v>93.096475924415131</v>
      </c>
      <c r="G26" s="6">
        <f t="shared" si="4"/>
        <v>83.786828331973624</v>
      </c>
      <c r="I26" s="20">
        <v>239</v>
      </c>
      <c r="J26" s="16">
        <f t="shared" si="3"/>
        <v>130.74118451755282</v>
      </c>
    </row>
    <row r="27" spans="2:10" x14ac:dyDescent="0.3">
      <c r="C27" s="21">
        <v>8</v>
      </c>
      <c r="E27" s="20">
        <f t="shared" si="5"/>
        <v>170.18400000000003</v>
      </c>
      <c r="F27" s="16">
        <f t="shared" si="2"/>
        <v>85.409610939830372</v>
      </c>
      <c r="G27" s="6">
        <f t="shared" si="4"/>
        <v>76.868649845847344</v>
      </c>
      <c r="I27" s="20">
        <v>239</v>
      </c>
      <c r="J27" s="16">
        <f t="shared" si="3"/>
        <v>119.94604084179157</v>
      </c>
    </row>
    <row r="28" spans="2:10" x14ac:dyDescent="0.3">
      <c r="C28">
        <v>9</v>
      </c>
      <c r="E28" s="20">
        <f t="shared" si="5"/>
        <v>170.18400000000003</v>
      </c>
      <c r="F28" s="16">
        <f t="shared" si="2"/>
        <v>78.35744122920218</v>
      </c>
      <c r="G28" s="6">
        <f t="shared" si="4"/>
        <v>70.521697106281962</v>
      </c>
      <c r="H28" s="20"/>
      <c r="I28" s="20">
        <v>239</v>
      </c>
      <c r="J28" s="16">
        <f t="shared" si="3"/>
        <v>110.04223930439593</v>
      </c>
    </row>
    <row r="29" spans="2:10" x14ac:dyDescent="0.3">
      <c r="C29" s="21">
        <v>10</v>
      </c>
      <c r="E29" s="20">
        <f t="shared" si="5"/>
        <v>170.18400000000003</v>
      </c>
      <c r="F29" s="16">
        <f t="shared" si="2"/>
        <v>71.887560760735937</v>
      </c>
      <c r="G29" s="6">
        <f t="shared" si="4"/>
        <v>64.698804684662349</v>
      </c>
      <c r="I29" s="20">
        <v>239</v>
      </c>
      <c r="J29" s="16">
        <f t="shared" si="3"/>
        <v>100.95618284806966</v>
      </c>
    </row>
    <row r="30" spans="2:10" x14ac:dyDescent="0.3">
      <c r="C30" s="21">
        <v>11</v>
      </c>
      <c r="E30" s="20">
        <f t="shared" si="5"/>
        <v>170.18400000000003</v>
      </c>
      <c r="F30" s="16">
        <f t="shared" si="2"/>
        <v>65.951890606179759</v>
      </c>
      <c r="G30" s="6">
        <f t="shared" si="4"/>
        <v>59.356701545561783</v>
      </c>
      <c r="H30" s="20"/>
      <c r="I30" s="20">
        <v>239</v>
      </c>
      <c r="J30" s="16">
        <f t="shared" si="3"/>
        <v>92.620351236761152</v>
      </c>
    </row>
    <row r="31" spans="2:10" x14ac:dyDescent="0.3">
      <c r="C31">
        <v>12</v>
      </c>
      <c r="E31" s="20">
        <f t="shared" si="5"/>
        <v>170.18400000000003</v>
      </c>
      <c r="F31" s="16">
        <f t="shared" si="2"/>
        <v>60.506321657045653</v>
      </c>
      <c r="G31" s="6">
        <f t="shared" si="4"/>
        <v>54.45568949134109</v>
      </c>
      <c r="I31" s="20">
        <v>239</v>
      </c>
      <c r="J31" s="16">
        <f t="shared" si="3"/>
        <v>84.972799299780874</v>
      </c>
    </row>
    <row r="32" spans="2:10" x14ac:dyDescent="0.3">
      <c r="C32" s="21">
        <v>13</v>
      </c>
      <c r="E32" s="20">
        <f t="shared" si="5"/>
        <v>170.18400000000003</v>
      </c>
      <c r="F32" s="16">
        <f t="shared" si="2"/>
        <v>55.51038684132628</v>
      </c>
      <c r="G32" s="6">
        <f t="shared" si="4"/>
        <v>49.959348157193652</v>
      </c>
      <c r="I32" s="20">
        <v>239</v>
      </c>
      <c r="J32" s="16">
        <f t="shared" si="3"/>
        <v>77.956696605303549</v>
      </c>
    </row>
    <row r="33" spans="2:20" x14ac:dyDescent="0.3">
      <c r="C33" s="21">
        <v>14</v>
      </c>
      <c r="E33" s="20">
        <f t="shared" si="5"/>
        <v>170.18400000000003</v>
      </c>
      <c r="F33" s="16">
        <f t="shared" si="2"/>
        <v>50.926960404886486</v>
      </c>
      <c r="G33" s="6">
        <f t="shared" si="4"/>
        <v>45.834264364397839</v>
      </c>
      <c r="I33" s="20">
        <v>239</v>
      </c>
      <c r="J33" s="16">
        <f t="shared" si="3"/>
        <v>71.519905142480312</v>
      </c>
    </row>
    <row r="34" spans="2:20" x14ac:dyDescent="0.3">
      <c r="C34">
        <v>15</v>
      </c>
      <c r="E34" s="20">
        <f t="shared" si="5"/>
        <v>170.18400000000003</v>
      </c>
      <c r="F34" s="16">
        <f t="shared" si="2"/>
        <v>46.721982022831639</v>
      </c>
      <c r="G34" s="6">
        <f t="shared" si="4"/>
        <v>42.049783820548477</v>
      </c>
      <c r="I34" s="20">
        <v>239</v>
      </c>
      <c r="J34" s="16">
        <f t="shared" si="3"/>
        <v>65.614591873835153</v>
      </c>
    </row>
    <row r="35" spans="2:20" x14ac:dyDescent="0.3">
      <c r="C35" s="21">
        <v>16</v>
      </c>
      <c r="E35" s="20">
        <f t="shared" si="5"/>
        <v>170.18400000000003</v>
      </c>
      <c r="F35" s="16">
        <f t="shared" si="2"/>
        <v>42.864203690671225</v>
      </c>
      <c r="G35" s="6">
        <f t="shared" si="4"/>
        <v>38.577783321604102</v>
      </c>
      <c r="I35" s="20">
        <v>239</v>
      </c>
      <c r="J35" s="16">
        <f t="shared" si="3"/>
        <v>60.196873278747837</v>
      </c>
    </row>
    <row r="36" spans="2:20" x14ac:dyDescent="0.3">
      <c r="C36" s="21">
        <v>17</v>
      </c>
      <c r="E36" s="20">
        <f t="shared" si="5"/>
        <v>170.18400000000003</v>
      </c>
      <c r="F36" s="16">
        <f t="shared" si="2"/>
        <v>39.324957514377274</v>
      </c>
      <c r="G36" s="6">
        <f t="shared" si="4"/>
        <v>35.392461762939547</v>
      </c>
      <c r="I36" s="20">
        <v>239</v>
      </c>
      <c r="J36" s="16">
        <f t="shared" si="3"/>
        <v>55.226489246557648</v>
      </c>
    </row>
    <row r="37" spans="2:20" x14ac:dyDescent="0.3">
      <c r="C37">
        <v>18</v>
      </c>
      <c r="E37" s="20">
        <f>E33</f>
        <v>170.18400000000003</v>
      </c>
      <c r="F37" s="16">
        <f t="shared" si="2"/>
        <v>36.077942673740615</v>
      </c>
      <c r="G37" s="6">
        <f t="shared" si="4"/>
        <v>32.470148406366555</v>
      </c>
      <c r="I37" s="20">
        <v>239</v>
      </c>
      <c r="J37" s="16">
        <f t="shared" si="3"/>
        <v>50.666503895924443</v>
      </c>
    </row>
    <row r="38" spans="2:20" x14ac:dyDescent="0.3">
      <c r="C38" s="21">
        <v>19</v>
      </c>
      <c r="E38" s="20">
        <f t="shared" si="5"/>
        <v>170.18400000000003</v>
      </c>
      <c r="F38" s="16">
        <f t="shared" si="2"/>
        <v>33.099029975908813</v>
      </c>
      <c r="G38" s="6">
        <f t="shared" si="4"/>
        <v>29.789126978317931</v>
      </c>
      <c r="I38" s="20">
        <v>239</v>
      </c>
      <c r="J38" s="16">
        <f t="shared" si="3"/>
        <v>46.483031097178383</v>
      </c>
    </row>
    <row r="39" spans="2:20" x14ac:dyDescent="0.3">
      <c r="C39" s="21">
        <v>20</v>
      </c>
      <c r="E39" s="20">
        <f t="shared" si="5"/>
        <v>170.18400000000003</v>
      </c>
      <c r="F39" s="16">
        <f t="shared" si="2"/>
        <v>30.366082546705339</v>
      </c>
      <c r="G39" s="6">
        <f t="shared" si="4"/>
        <v>27.329474292034806</v>
      </c>
      <c r="I39" s="20">
        <v>239</v>
      </c>
      <c r="J39" s="16">
        <f t="shared" si="3"/>
        <v>42.644982657961819</v>
      </c>
    </row>
    <row r="40" spans="2:20" x14ac:dyDescent="0.3">
      <c r="C40">
        <v>21</v>
      </c>
      <c r="E40" s="20">
        <f t="shared" si="5"/>
        <v>170.18400000000003</v>
      </c>
      <c r="F40" s="17">
        <f t="shared" si="2"/>
        <v>27.858791327252597</v>
      </c>
      <c r="G40" s="18">
        <f t="shared" si="4"/>
        <v>25.072912194527337</v>
      </c>
      <c r="I40" s="20">
        <v>239</v>
      </c>
      <c r="J40" s="17">
        <f t="shared" si="3"/>
        <v>39.1238373008824</v>
      </c>
    </row>
    <row r="41" spans="2:20" x14ac:dyDescent="0.3">
      <c r="E41" s="20"/>
      <c r="F41" s="29">
        <f>SUM(F20:F40)</f>
        <v>690.95727093764185</v>
      </c>
      <c r="G41" s="46">
        <f>SUM(G20:G40)</f>
        <v>562.75540799672683</v>
      </c>
      <c r="J41" s="47">
        <f>SUM(J20:J40)</f>
        <v>1209.3573203043279</v>
      </c>
    </row>
    <row r="42" spans="2:20" x14ac:dyDescent="0.3">
      <c r="E42" s="20"/>
      <c r="F42" s="29"/>
      <c r="G42" s="30"/>
    </row>
    <row r="43" spans="2:20" x14ac:dyDescent="0.3">
      <c r="E43" s="20"/>
      <c r="F43" s="29"/>
      <c r="G43" s="30"/>
    </row>
    <row r="44" spans="2:20" x14ac:dyDescent="0.3">
      <c r="E44" s="9"/>
      <c r="F44" s="16"/>
      <c r="G44" s="6"/>
    </row>
    <row r="45" spans="2:20" x14ac:dyDescent="0.3">
      <c r="B45" s="8" t="s">
        <v>71</v>
      </c>
      <c r="E45" s="9"/>
      <c r="F45" s="16"/>
      <c r="G45" s="6"/>
    </row>
    <row r="46" spans="2:20" x14ac:dyDescent="0.3">
      <c r="B46" t="s">
        <v>25</v>
      </c>
      <c r="C46" t="s">
        <v>16</v>
      </c>
      <c r="F46" t="s">
        <v>125</v>
      </c>
      <c r="G46" t="s">
        <v>126</v>
      </c>
      <c r="H46" t="s">
        <v>18</v>
      </c>
      <c r="I46" t="s">
        <v>19</v>
      </c>
      <c r="J46" t="s">
        <v>20</v>
      </c>
      <c r="L46" t="s">
        <v>8</v>
      </c>
      <c r="M46" t="s">
        <v>8</v>
      </c>
      <c r="N46" t="s">
        <v>146</v>
      </c>
      <c r="O46" t="s">
        <v>147</v>
      </c>
      <c r="P46" t="s">
        <v>155</v>
      </c>
      <c r="Q46" t="s">
        <v>6</v>
      </c>
      <c r="S46" t="s">
        <v>21</v>
      </c>
      <c r="T46" t="s">
        <v>22</v>
      </c>
    </row>
    <row r="47" spans="2:20" x14ac:dyDescent="0.3">
      <c r="B47" t="s">
        <v>17</v>
      </c>
      <c r="C47" t="s">
        <v>25</v>
      </c>
      <c r="D47" t="s">
        <v>1</v>
      </c>
      <c r="E47" t="s">
        <v>2</v>
      </c>
      <c r="F47" t="s">
        <v>25</v>
      </c>
      <c r="G47" t="s">
        <v>5</v>
      </c>
      <c r="H47" t="s">
        <v>25</v>
      </c>
      <c r="I47" t="s">
        <v>134</v>
      </c>
      <c r="J47" t="s">
        <v>25</v>
      </c>
      <c r="L47" t="s">
        <v>26</v>
      </c>
      <c r="M47" t="s">
        <v>3</v>
      </c>
      <c r="N47" t="s">
        <v>4</v>
      </c>
      <c r="O47" t="s">
        <v>130</v>
      </c>
      <c r="P47" t="s">
        <v>156</v>
      </c>
      <c r="Q47" t="s">
        <v>7</v>
      </c>
      <c r="S47" t="s">
        <v>25</v>
      </c>
      <c r="T47" t="s">
        <v>23</v>
      </c>
    </row>
    <row r="48" spans="2:20" x14ac:dyDescent="0.3">
      <c r="B48" s="8">
        <v>23.9</v>
      </c>
      <c r="C48" s="8">
        <v>2000</v>
      </c>
      <c r="D48" s="13">
        <v>1.7399999999999999E-2</v>
      </c>
      <c r="E48" s="14">
        <v>0.89</v>
      </c>
      <c r="F48" s="11">
        <f>C48*D48*E48</f>
        <v>30.971999999999998</v>
      </c>
      <c r="G48" s="25">
        <v>3.2</v>
      </c>
      <c r="H48" s="26">
        <f>F48*G48</f>
        <v>99.110399999999998</v>
      </c>
      <c r="I48" s="25">
        <f>H48*0.63</f>
        <v>62.439551999999999</v>
      </c>
      <c r="J48" s="25">
        <f>H48-I48</f>
        <v>36.670847999999999</v>
      </c>
      <c r="K48" s="27"/>
      <c r="L48" s="32">
        <v>5000</v>
      </c>
      <c r="M48" s="12">
        <f>H48*L48</f>
        <v>495552</v>
      </c>
      <c r="N48" s="12">
        <f>J48*L48</f>
        <v>183354.23999999999</v>
      </c>
      <c r="O48" s="12">
        <f>N48*360</f>
        <v>66007526.399999999</v>
      </c>
      <c r="P48" s="73">
        <f>(J48-(1/3*I48))*(L48*360)</f>
        <v>28543795.199999999</v>
      </c>
      <c r="Q48" s="8">
        <f>B48*1000000/(L48*340)</f>
        <v>14.058823529411764</v>
      </c>
      <c r="S48" s="28">
        <f>C48*D48*E48</f>
        <v>30.971999999999998</v>
      </c>
      <c r="T48" s="7">
        <f>I48/S48</f>
        <v>2.016</v>
      </c>
    </row>
    <row r="50" spans="2:10" x14ac:dyDescent="0.3">
      <c r="B50" s="8" t="s">
        <v>131</v>
      </c>
      <c r="I50" s="75"/>
      <c r="J50" s="75"/>
    </row>
    <row r="51" spans="2:10" x14ac:dyDescent="0.3">
      <c r="B51" t="s">
        <v>9</v>
      </c>
      <c r="D51" s="2">
        <v>0.09</v>
      </c>
    </row>
    <row r="52" spans="2:10" x14ac:dyDescent="0.3">
      <c r="B52" t="s">
        <v>13</v>
      </c>
      <c r="D52" s="1">
        <v>0.1</v>
      </c>
      <c r="F52" t="s">
        <v>11</v>
      </c>
      <c r="G52" t="s">
        <v>11</v>
      </c>
      <c r="I52" s="6"/>
      <c r="J52" s="33"/>
    </row>
    <row r="53" spans="2:10" x14ac:dyDescent="0.3">
      <c r="E53" t="s">
        <v>28</v>
      </c>
      <c r="F53" t="s">
        <v>12</v>
      </c>
      <c r="G53" t="s">
        <v>12</v>
      </c>
      <c r="I53" s="20"/>
    </row>
    <row r="54" spans="2:10" x14ac:dyDescent="0.3">
      <c r="C54" s="21" t="s">
        <v>10</v>
      </c>
      <c r="D54" s="1"/>
      <c r="E54" t="s">
        <v>29</v>
      </c>
      <c r="F54" t="s">
        <v>14</v>
      </c>
      <c r="G54" t="s">
        <v>15</v>
      </c>
      <c r="I54" s="20"/>
    </row>
    <row r="55" spans="2:10" x14ac:dyDescent="0.3">
      <c r="C55" s="21">
        <v>1</v>
      </c>
      <c r="D55" s="1"/>
      <c r="E55" s="22">
        <f>O48/1000000</f>
        <v>66.007526400000003</v>
      </c>
      <c r="F55" s="15">
        <f>(E55*(1+$D$51)^-C55)</f>
        <v>60.557363669724772</v>
      </c>
      <c r="G55" s="22">
        <f t="shared" ref="G55:G68" si="6">F55*(1-$D$52)</f>
        <v>54.501627302752297</v>
      </c>
      <c r="I55" s="20"/>
    </row>
    <row r="56" spans="2:10" x14ac:dyDescent="0.3">
      <c r="C56">
        <v>2</v>
      </c>
      <c r="E56" s="22">
        <f>E55</f>
        <v>66.007526400000003</v>
      </c>
      <c r="F56" s="15">
        <f t="shared" ref="F56:F68" si="7">(E56*(1+$D$51)^-C56)</f>
        <v>55.557214375894283</v>
      </c>
      <c r="G56" s="22">
        <f t="shared" si="6"/>
        <v>50.001492938304857</v>
      </c>
      <c r="I56" s="20"/>
    </row>
    <row r="57" spans="2:10" x14ac:dyDescent="0.3">
      <c r="C57">
        <v>3</v>
      </c>
      <c r="E57" s="22">
        <f>E56</f>
        <v>66.007526400000003</v>
      </c>
      <c r="F57" s="15">
        <f t="shared" si="7"/>
        <v>50.969921445774574</v>
      </c>
      <c r="G57" s="22">
        <f t="shared" si="6"/>
        <v>45.872929301197118</v>
      </c>
    </row>
    <row r="58" spans="2:10" x14ac:dyDescent="0.3">
      <c r="C58" s="21">
        <v>4</v>
      </c>
      <c r="E58" s="22">
        <f t="shared" ref="E58:E68" si="8">E57</f>
        <v>66.007526400000003</v>
      </c>
      <c r="F58" s="15">
        <f t="shared" si="7"/>
        <v>46.761395821811526</v>
      </c>
      <c r="G58" s="22">
        <f t="shared" si="6"/>
        <v>42.085256239630375</v>
      </c>
    </row>
    <row r="59" spans="2:10" x14ac:dyDescent="0.3">
      <c r="C59">
        <v>5</v>
      </c>
      <c r="E59" s="20">
        <f t="shared" si="8"/>
        <v>66.007526400000003</v>
      </c>
      <c r="F59" s="15">
        <f t="shared" si="7"/>
        <v>42.900363139276621</v>
      </c>
      <c r="G59" s="22">
        <f t="shared" si="6"/>
        <v>38.610326825348963</v>
      </c>
    </row>
    <row r="60" spans="2:10" x14ac:dyDescent="0.3">
      <c r="C60">
        <v>6</v>
      </c>
      <c r="E60" s="20">
        <f t="shared" si="8"/>
        <v>66.007526400000003</v>
      </c>
      <c r="F60" s="15">
        <f t="shared" si="7"/>
        <v>39.358131320437266</v>
      </c>
      <c r="G60" s="22">
        <f t="shared" si="6"/>
        <v>35.42231818839354</v>
      </c>
      <c r="I60" s="6"/>
    </row>
    <row r="61" spans="2:10" x14ac:dyDescent="0.3">
      <c r="C61" s="21">
        <v>7</v>
      </c>
      <c r="E61" s="20">
        <f t="shared" si="8"/>
        <v>66.007526400000003</v>
      </c>
      <c r="F61" s="15">
        <f t="shared" si="7"/>
        <v>36.108377358199334</v>
      </c>
      <c r="G61" s="22">
        <f t="shared" si="6"/>
        <v>32.497539622379399</v>
      </c>
    </row>
    <row r="62" spans="2:10" x14ac:dyDescent="0.3">
      <c r="C62">
        <v>8</v>
      </c>
      <c r="E62" s="20">
        <f t="shared" si="8"/>
        <v>66.007526400000003</v>
      </c>
      <c r="F62" s="15">
        <f t="shared" si="7"/>
        <v>33.126951704770022</v>
      </c>
      <c r="G62" s="22">
        <f t="shared" si="6"/>
        <v>29.814256534293019</v>
      </c>
    </row>
    <row r="63" spans="2:10" x14ac:dyDescent="0.3">
      <c r="C63">
        <v>9</v>
      </c>
      <c r="E63" s="20">
        <f t="shared" si="8"/>
        <v>66.007526400000003</v>
      </c>
      <c r="F63" s="15">
        <f t="shared" si="7"/>
        <v>30.391698811715617</v>
      </c>
      <c r="G63" s="22">
        <f t="shared" si="6"/>
        <v>27.352528930544057</v>
      </c>
    </row>
    <row r="64" spans="2:10" x14ac:dyDescent="0.3">
      <c r="C64" s="21">
        <v>10</v>
      </c>
      <c r="E64" s="20">
        <f t="shared" si="8"/>
        <v>66.007526400000003</v>
      </c>
      <c r="F64" s="15">
        <f t="shared" si="7"/>
        <v>27.882292487812492</v>
      </c>
      <c r="G64" s="22">
        <f t="shared" si="6"/>
        <v>25.094063239031243</v>
      </c>
    </row>
    <row r="65" spans="2:9" x14ac:dyDescent="0.3">
      <c r="C65">
        <v>11</v>
      </c>
      <c r="E65" s="20">
        <f t="shared" si="8"/>
        <v>66.007526400000003</v>
      </c>
      <c r="F65" s="15">
        <f t="shared" si="7"/>
        <v>25.58008485120412</v>
      </c>
      <c r="G65" s="22">
        <f t="shared" si="6"/>
        <v>23.022076366083709</v>
      </c>
    </row>
    <row r="66" spans="2:9" x14ac:dyDescent="0.3">
      <c r="C66">
        <v>12</v>
      </c>
      <c r="E66" s="20">
        <f t="shared" si="8"/>
        <v>66.007526400000003</v>
      </c>
      <c r="F66" s="15">
        <f t="shared" si="7"/>
        <v>23.467967753398277</v>
      </c>
      <c r="G66" s="22">
        <f t="shared" si="6"/>
        <v>21.121170978058451</v>
      </c>
    </row>
    <row r="67" spans="2:9" x14ac:dyDescent="0.3">
      <c r="C67" s="21">
        <v>13</v>
      </c>
      <c r="E67" s="20">
        <f t="shared" si="8"/>
        <v>66.007526400000003</v>
      </c>
      <c r="F67" s="15">
        <f t="shared" si="7"/>
        <v>21.530245645319514</v>
      </c>
      <c r="G67" s="22">
        <f t="shared" si="6"/>
        <v>19.377221080787564</v>
      </c>
    </row>
    <row r="68" spans="2:9" x14ac:dyDescent="0.3">
      <c r="C68">
        <v>14</v>
      </c>
      <c r="E68" s="20">
        <f t="shared" si="8"/>
        <v>66.007526400000003</v>
      </c>
      <c r="F68" s="15">
        <f t="shared" si="7"/>
        <v>19.752518940660106</v>
      </c>
      <c r="G68" s="31">
        <f t="shared" si="6"/>
        <v>17.777267046594098</v>
      </c>
    </row>
    <row r="69" spans="2:9" x14ac:dyDescent="0.3">
      <c r="E69" s="20"/>
      <c r="F69" s="29">
        <f>SUM(F55:F68)</f>
        <v>513.94452732599848</v>
      </c>
      <c r="G69" s="46">
        <f>SUM(G55:G68)</f>
        <v>462.55007459339873</v>
      </c>
    </row>
    <row r="70" spans="2:9" x14ac:dyDescent="0.3">
      <c r="E70" s="20"/>
      <c r="F70" s="29"/>
      <c r="G70" s="29"/>
    </row>
    <row r="71" spans="2:9" x14ac:dyDescent="0.3">
      <c r="B71" s="8" t="s">
        <v>77</v>
      </c>
      <c r="D71" s="1"/>
      <c r="E71" s="6"/>
      <c r="F71" s="16"/>
      <c r="G71" s="6"/>
    </row>
    <row r="72" spans="2:9" x14ac:dyDescent="0.3">
      <c r="E72" s="6"/>
      <c r="F72" s="16"/>
      <c r="G72" s="6"/>
      <c r="I72" s="9"/>
    </row>
    <row r="73" spans="2:9" x14ac:dyDescent="0.3">
      <c r="E73" s="6"/>
      <c r="F73" s="16"/>
      <c r="G73" s="6"/>
      <c r="I73" s="9"/>
    </row>
    <row r="74" spans="2:9" x14ac:dyDescent="0.3">
      <c r="E74" s="6"/>
      <c r="F74" s="16"/>
      <c r="G74" s="6"/>
      <c r="I74" s="20"/>
    </row>
    <row r="75" spans="2:9" x14ac:dyDescent="0.3">
      <c r="E75" s="15"/>
      <c r="F75" s="15"/>
      <c r="G75" s="22"/>
      <c r="I75" s="20"/>
    </row>
    <row r="76" spans="2:9" x14ac:dyDescent="0.3">
      <c r="E76" s="20"/>
      <c r="F76" s="16"/>
      <c r="G76" s="6"/>
    </row>
    <row r="77" spans="2:9" x14ac:dyDescent="0.3">
      <c r="E77" s="20"/>
      <c r="F77" s="16"/>
      <c r="G77" s="6"/>
    </row>
    <row r="78" spans="2:9" x14ac:dyDescent="0.3">
      <c r="E78" s="20"/>
      <c r="F78" s="16"/>
      <c r="G78" s="6"/>
    </row>
    <row r="79" spans="2:9" x14ac:dyDescent="0.3">
      <c r="E79" s="20"/>
      <c r="F79" s="16"/>
      <c r="G79" s="6"/>
      <c r="I79" s="6"/>
    </row>
    <row r="80" spans="2:9" x14ac:dyDescent="0.3">
      <c r="E80" s="20"/>
      <c r="F80" s="16"/>
      <c r="G80" s="6"/>
    </row>
    <row r="81" spans="2:26" x14ac:dyDescent="0.3">
      <c r="E81" s="20"/>
      <c r="F81" s="16"/>
      <c r="G81" s="6"/>
    </row>
    <row r="82" spans="2:26" x14ac:dyDescent="0.3">
      <c r="E82" s="20"/>
      <c r="F82" s="16"/>
      <c r="G82" s="6"/>
    </row>
    <row r="83" spans="2:26" x14ac:dyDescent="0.3">
      <c r="E83" s="20"/>
      <c r="F83" s="16"/>
      <c r="G83" s="6"/>
    </row>
    <row r="84" spans="2:26" x14ac:dyDescent="0.3">
      <c r="E84" s="20"/>
      <c r="F84" s="29"/>
      <c r="G84" s="30"/>
    </row>
    <row r="85" spans="2:26" x14ac:dyDescent="0.3">
      <c r="E85" s="9"/>
      <c r="F85" s="16"/>
      <c r="G85" s="6"/>
    </row>
    <row r="86" spans="2:26" x14ac:dyDescent="0.3">
      <c r="B86" s="8"/>
    </row>
    <row r="87" spans="2:26" x14ac:dyDescent="0.3">
      <c r="B87" s="8"/>
    </row>
    <row r="89" spans="2:26" x14ac:dyDescent="0.3">
      <c r="D89" s="2"/>
    </row>
    <row r="90" spans="2:26" x14ac:dyDescent="0.3">
      <c r="D90" s="1"/>
      <c r="Z90" s="48"/>
    </row>
    <row r="91" spans="2:26" x14ac:dyDescent="0.3">
      <c r="C91" s="21"/>
      <c r="D91" s="1"/>
    </row>
    <row r="92" spans="2:26" x14ac:dyDescent="0.3">
      <c r="B92" s="8" t="s">
        <v>103</v>
      </c>
      <c r="D92" s="1"/>
      <c r="E92" s="6"/>
      <c r="F92" s="16"/>
      <c r="G92" s="6"/>
    </row>
    <row r="93" spans="2:26" x14ac:dyDescent="0.3">
      <c r="E93" s="6"/>
      <c r="I93" s="20"/>
    </row>
    <row r="94" spans="2:26" x14ac:dyDescent="0.3">
      <c r="E94" s="6"/>
      <c r="F94" s="16"/>
      <c r="G94" s="6"/>
      <c r="I94" s="20"/>
    </row>
    <row r="95" spans="2:26" x14ac:dyDescent="0.3">
      <c r="E95" s="6"/>
      <c r="F95" s="16"/>
      <c r="G95" s="6"/>
      <c r="I95" s="20"/>
    </row>
    <row r="96" spans="2:26" x14ac:dyDescent="0.3">
      <c r="E96" s="20"/>
      <c r="F96" s="16"/>
      <c r="G96" s="6"/>
      <c r="I96" s="20"/>
    </row>
    <row r="97" spans="5:9" x14ac:dyDescent="0.3">
      <c r="E97" s="20"/>
      <c r="F97" s="16"/>
      <c r="G97" s="6"/>
      <c r="I97" s="20"/>
    </row>
    <row r="98" spans="5:9" x14ac:dyDescent="0.3">
      <c r="E98" s="20"/>
      <c r="F98" s="16"/>
      <c r="G98" s="6"/>
      <c r="I98" s="20"/>
    </row>
    <row r="99" spans="5:9" x14ac:dyDescent="0.3">
      <c r="E99" s="20"/>
      <c r="F99" s="16"/>
      <c r="G99" s="6"/>
      <c r="I99" s="20"/>
    </row>
    <row r="100" spans="5:9" x14ac:dyDescent="0.3">
      <c r="E100" s="20"/>
      <c r="F100" s="16"/>
      <c r="G100" s="6"/>
      <c r="I100" s="20"/>
    </row>
    <row r="101" spans="5:9" x14ac:dyDescent="0.3">
      <c r="E101" s="20"/>
      <c r="F101" s="16"/>
      <c r="G101" s="6"/>
      <c r="I101" s="20"/>
    </row>
    <row r="102" spans="5:9" x14ac:dyDescent="0.3">
      <c r="E102" s="20"/>
      <c r="F102" s="16"/>
      <c r="G102" s="6"/>
      <c r="I102" s="20"/>
    </row>
    <row r="103" spans="5:9" x14ac:dyDescent="0.3">
      <c r="E103" s="20"/>
      <c r="F103" s="16"/>
      <c r="G103" s="6"/>
      <c r="I103" s="20"/>
    </row>
    <row r="104" spans="5:9" x14ac:dyDescent="0.3">
      <c r="E104" s="20"/>
      <c r="F104" s="16"/>
      <c r="G104" s="6"/>
      <c r="I104" s="20"/>
    </row>
    <row r="105" spans="5:9" x14ac:dyDescent="0.3">
      <c r="E105" s="20"/>
      <c r="F105" s="16"/>
      <c r="G105" s="6"/>
    </row>
    <row r="106" spans="5:9" x14ac:dyDescent="0.3">
      <c r="E106" s="20"/>
      <c r="F106" s="16"/>
      <c r="G106" s="6"/>
    </row>
    <row r="107" spans="5:9" x14ac:dyDescent="0.3">
      <c r="E107" s="20"/>
      <c r="F107" s="16"/>
      <c r="G107" s="6"/>
      <c r="I107" s="6"/>
    </row>
    <row r="108" spans="5:9" x14ac:dyDescent="0.3">
      <c r="E108" s="20"/>
      <c r="F108" s="16"/>
      <c r="G108" s="6"/>
    </row>
    <row r="109" spans="5:9" x14ac:dyDescent="0.3">
      <c r="E109" s="20"/>
      <c r="F109" s="16"/>
      <c r="G109" s="6"/>
    </row>
    <row r="110" spans="5:9" x14ac:dyDescent="0.3">
      <c r="E110" s="20"/>
      <c r="F110" s="16"/>
      <c r="G110" s="6"/>
    </row>
    <row r="111" spans="5:9" x14ac:dyDescent="0.3">
      <c r="E111" s="20"/>
      <c r="F111" s="16"/>
      <c r="G111" s="6"/>
    </row>
    <row r="112" spans="5:9" hidden="1" x14ac:dyDescent="0.3">
      <c r="E112" s="20"/>
      <c r="F112" s="16"/>
      <c r="G112" s="6"/>
    </row>
    <row r="113" spans="3:7" hidden="1" x14ac:dyDescent="0.3">
      <c r="E113" s="20"/>
      <c r="F113" s="16"/>
      <c r="G113" s="6"/>
    </row>
    <row r="114" spans="3:7" hidden="1" x14ac:dyDescent="0.3">
      <c r="E114" s="20"/>
      <c r="F114" s="16"/>
      <c r="G114" s="6"/>
    </row>
    <row r="115" spans="3:7" hidden="1" x14ac:dyDescent="0.3">
      <c r="E115" s="20"/>
      <c r="F115" s="16"/>
      <c r="G115" s="6"/>
    </row>
    <row r="116" spans="3:7" hidden="1" x14ac:dyDescent="0.3">
      <c r="E116" s="20"/>
      <c r="F116" s="16"/>
      <c r="G116" s="6"/>
    </row>
    <row r="117" spans="3:7" hidden="1" x14ac:dyDescent="0.3">
      <c r="E117" s="20"/>
      <c r="F117" s="16"/>
      <c r="G117" s="6"/>
    </row>
    <row r="118" spans="3:7" hidden="1" x14ac:dyDescent="0.3">
      <c r="E118" s="20"/>
      <c r="F118" s="16"/>
      <c r="G118" s="18"/>
    </row>
    <row r="119" spans="3:7" hidden="1" x14ac:dyDescent="0.3">
      <c r="E119" s="9"/>
      <c r="F119" s="16"/>
      <c r="G119" s="6"/>
    </row>
    <row r="120" spans="3:7" hidden="1" x14ac:dyDescent="0.3">
      <c r="C120" s="23"/>
    </row>
    <row r="140" spans="3:11" x14ac:dyDescent="0.3">
      <c r="C140" s="77" t="s">
        <v>137</v>
      </c>
      <c r="D140" s="77"/>
      <c r="E140" s="77"/>
      <c r="F140" s="77"/>
      <c r="G140" s="77"/>
      <c r="H140" s="77"/>
      <c r="I140" s="77"/>
      <c r="J140" s="77"/>
      <c r="K140" s="77"/>
    </row>
    <row r="141" spans="3:11" x14ac:dyDescent="0.3">
      <c r="H141" t="s">
        <v>84</v>
      </c>
      <c r="J141" t="s">
        <v>85</v>
      </c>
    </row>
    <row r="142" spans="3:11" x14ac:dyDescent="0.3">
      <c r="C142" s="50" t="s">
        <v>94</v>
      </c>
      <c r="D142" s="50"/>
      <c r="H142" s="22">
        <v>2000</v>
      </c>
      <c r="I142" s="22"/>
      <c r="J142" s="74">
        <v>105000</v>
      </c>
      <c r="K142" s="74"/>
    </row>
    <row r="143" spans="3:11" ht="15.6" x14ac:dyDescent="0.3">
      <c r="C143" s="53" t="s">
        <v>86</v>
      </c>
      <c r="D143" s="53"/>
      <c r="H143" s="22"/>
      <c r="I143" s="22"/>
      <c r="J143" s="15"/>
    </row>
    <row r="144" spans="3:11" x14ac:dyDescent="0.3">
      <c r="C144" s="51" t="s">
        <v>87</v>
      </c>
      <c r="D144" s="51"/>
      <c r="H144" s="22">
        <v>8000</v>
      </c>
      <c r="I144" s="22"/>
      <c r="J144" s="15"/>
    </row>
    <row r="145" spans="3:15" x14ac:dyDescent="0.3">
      <c r="C145" s="51" t="s">
        <v>88</v>
      </c>
      <c r="D145" s="51"/>
      <c r="H145" s="22">
        <v>15000</v>
      </c>
      <c r="I145" s="22"/>
      <c r="J145" s="15"/>
    </row>
    <row r="146" spans="3:15" x14ac:dyDescent="0.3">
      <c r="C146" s="51" t="s">
        <v>89</v>
      </c>
      <c r="D146" s="51"/>
      <c r="H146" s="22">
        <v>15000</v>
      </c>
      <c r="I146" s="22"/>
      <c r="J146" s="15"/>
    </row>
    <row r="147" spans="3:15" ht="15.6" x14ac:dyDescent="0.3">
      <c r="C147" s="53" t="s">
        <v>96</v>
      </c>
      <c r="D147" s="53"/>
      <c r="H147" s="22"/>
      <c r="I147" s="22"/>
      <c r="J147" s="15"/>
    </row>
    <row r="148" spans="3:15" x14ac:dyDescent="0.3">
      <c r="C148" t="s">
        <v>92</v>
      </c>
      <c r="H148" s="22"/>
      <c r="I148" s="22"/>
      <c r="J148" s="15"/>
    </row>
    <row r="149" spans="3:15" x14ac:dyDescent="0.3">
      <c r="C149" s="51" t="s">
        <v>97</v>
      </c>
      <c r="D149" s="51"/>
      <c r="H149" s="22"/>
      <c r="I149" s="22"/>
      <c r="J149" s="15"/>
    </row>
    <row r="150" spans="3:15" x14ac:dyDescent="0.3">
      <c r="C150" s="52" t="s">
        <v>98</v>
      </c>
      <c r="D150" s="52"/>
      <c r="H150" s="22"/>
      <c r="I150" s="22"/>
      <c r="J150" s="15"/>
    </row>
    <row r="151" spans="3:15" x14ac:dyDescent="0.3">
      <c r="C151" s="51" t="s">
        <v>99</v>
      </c>
      <c r="D151" s="51"/>
      <c r="H151" s="22"/>
      <c r="I151" s="22"/>
      <c r="J151" s="15"/>
    </row>
    <row r="152" spans="3:15" x14ac:dyDescent="0.3">
      <c r="C152" s="51" t="s">
        <v>102</v>
      </c>
      <c r="D152" s="51"/>
      <c r="H152" s="22">
        <v>3640</v>
      </c>
      <c r="I152" s="22"/>
      <c r="J152" s="15"/>
      <c r="O152" s="49"/>
    </row>
    <row r="153" spans="3:15" x14ac:dyDescent="0.3">
      <c r="C153" t="s">
        <v>93</v>
      </c>
      <c r="H153" s="22"/>
      <c r="I153" s="22"/>
      <c r="J153" s="15"/>
      <c r="O153" s="8"/>
    </row>
    <row r="154" spans="3:15" x14ac:dyDescent="0.3">
      <c r="C154" s="51" t="s">
        <v>91</v>
      </c>
      <c r="D154" s="51"/>
      <c r="H154" s="22"/>
      <c r="I154" s="22"/>
      <c r="J154" s="15"/>
    </row>
    <row r="155" spans="3:15" x14ac:dyDescent="0.3">
      <c r="C155" s="51" t="s">
        <v>100</v>
      </c>
      <c r="D155" s="51"/>
      <c r="H155" s="22"/>
      <c r="I155" s="22"/>
      <c r="J155" s="15"/>
    </row>
    <row r="156" spans="3:15" x14ac:dyDescent="0.3">
      <c r="C156" s="51" t="s">
        <v>101</v>
      </c>
      <c r="D156" s="51"/>
      <c r="H156" s="22"/>
      <c r="I156" s="22"/>
      <c r="J156" s="15"/>
    </row>
    <row r="157" spans="3:15" x14ac:dyDescent="0.3">
      <c r="C157" s="51" t="s">
        <v>90</v>
      </c>
      <c r="D157" s="51"/>
      <c r="H157" s="22"/>
      <c r="I157" s="22"/>
      <c r="J157" s="15"/>
    </row>
    <row r="158" spans="3:15" x14ac:dyDescent="0.3">
      <c r="C158" s="51" t="s">
        <v>104</v>
      </c>
      <c r="D158" s="51"/>
      <c r="H158" s="54">
        <v>28800</v>
      </c>
      <c r="I158" s="54"/>
      <c r="J158" s="55"/>
    </row>
    <row r="159" spans="3:15" ht="15.6" x14ac:dyDescent="0.3">
      <c r="C159" s="71" t="s">
        <v>105</v>
      </c>
      <c r="D159" s="53"/>
      <c r="H159" s="54"/>
      <c r="I159" s="54"/>
      <c r="J159" s="55"/>
    </row>
    <row r="160" spans="3:15" x14ac:dyDescent="0.3">
      <c r="C160" s="51" t="s">
        <v>106</v>
      </c>
      <c r="D160" s="51"/>
      <c r="H160" s="54">
        <v>15000</v>
      </c>
      <c r="I160" s="54"/>
      <c r="J160" s="15"/>
      <c r="K160" t="s">
        <v>110</v>
      </c>
    </row>
    <row r="161" spans="3:11" x14ac:dyDescent="0.3">
      <c r="C161" s="51" t="s">
        <v>107</v>
      </c>
      <c r="D161" s="51"/>
      <c r="H161" s="54"/>
      <c r="I161" s="54"/>
      <c r="J161" s="74">
        <v>-13000</v>
      </c>
      <c r="K161" s="74"/>
    </row>
    <row r="162" spans="3:11" x14ac:dyDescent="0.3">
      <c r="C162" s="51" t="s">
        <v>108</v>
      </c>
      <c r="D162" s="51"/>
      <c r="H162" s="54">
        <v>11000</v>
      </c>
      <c r="I162" s="54"/>
      <c r="J162" s="15"/>
    </row>
    <row r="163" spans="3:11" x14ac:dyDescent="0.3">
      <c r="C163" s="51" t="s">
        <v>109</v>
      </c>
      <c r="D163" s="51"/>
      <c r="H163" s="54">
        <v>7000</v>
      </c>
      <c r="I163" s="54"/>
      <c r="J163" s="15"/>
    </row>
    <row r="164" spans="3:11" x14ac:dyDescent="0.3">
      <c r="C164" s="51"/>
      <c r="D164" s="51"/>
      <c r="H164" s="31"/>
      <c r="I164" s="31"/>
      <c r="J164" s="15"/>
    </row>
    <row r="165" spans="3:11" x14ac:dyDescent="0.3">
      <c r="H165" s="31">
        <f>SUM(H142:H164)</f>
        <v>105440</v>
      </c>
      <c r="I165" s="31"/>
      <c r="J165" s="56">
        <f>SUM(J142:J164)</f>
        <v>92000</v>
      </c>
    </row>
    <row r="166" spans="3:11" x14ac:dyDescent="0.3">
      <c r="C166" t="s">
        <v>95</v>
      </c>
      <c r="H166" s="22">
        <f>H165-J165</f>
        <v>13440</v>
      </c>
      <c r="I166" s="22"/>
      <c r="J166" s="15"/>
    </row>
  </sheetData>
  <mergeCells count="6">
    <mergeCell ref="J161:K161"/>
    <mergeCell ref="I17:J17"/>
    <mergeCell ref="I50:J50"/>
    <mergeCell ref="I16:J16"/>
    <mergeCell ref="C140:K140"/>
    <mergeCell ref="J142:K142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FAF6-B440-4528-B6A6-60884BCF2057}">
  <dimension ref="B1:X79"/>
  <sheetViews>
    <sheetView zoomScale="80" zoomScaleNormal="80" workbookViewId="0">
      <selection activeCell="U16" sqref="U16"/>
    </sheetView>
  </sheetViews>
  <sheetFormatPr defaultRowHeight="14.4" x14ac:dyDescent="0.3"/>
  <cols>
    <col min="1" max="1" width="2.77734375" style="34" customWidth="1"/>
    <col min="2" max="3" width="8.88671875" style="34"/>
    <col min="4" max="4" width="10.44140625" style="34" customWidth="1"/>
    <col min="5" max="5" width="9.6640625" style="34" customWidth="1"/>
    <col min="6" max="6" width="10" style="34" customWidth="1"/>
    <col min="7" max="7" width="9.88671875" style="34" customWidth="1"/>
    <col min="8" max="8" width="10.109375" style="34" customWidth="1"/>
    <col min="9" max="17" width="11.44140625" style="34" bestFit="1" customWidth="1"/>
    <col min="18" max="18" width="11.33203125" style="34" bestFit="1" customWidth="1"/>
    <col min="19" max="19" width="10.5546875" style="34" bestFit="1" customWidth="1"/>
    <col min="20" max="20" width="10.44140625" style="34" customWidth="1"/>
    <col min="21" max="16384" width="8.88671875" style="34"/>
  </cols>
  <sheetData>
    <row r="1" spans="2:24" x14ac:dyDescent="0.3">
      <c r="B1" s="70" t="s">
        <v>78</v>
      </c>
      <c r="F1" s="34" t="s">
        <v>158</v>
      </c>
    </row>
    <row r="2" spans="2:24" x14ac:dyDescent="0.3">
      <c r="B2" s="70"/>
    </row>
    <row r="3" spans="2:24" x14ac:dyDescent="0.3">
      <c r="F3" s="70">
        <v>2021</v>
      </c>
      <c r="G3" s="70">
        <v>2022</v>
      </c>
      <c r="H3" s="70">
        <v>2023</v>
      </c>
      <c r="I3" s="70">
        <v>2024</v>
      </c>
      <c r="J3" s="70">
        <v>2025</v>
      </c>
      <c r="K3" s="70">
        <v>2026</v>
      </c>
      <c r="L3" s="70">
        <v>2027</v>
      </c>
      <c r="M3" s="70">
        <v>2028</v>
      </c>
      <c r="N3" s="70">
        <v>2029</v>
      </c>
      <c r="O3" s="70">
        <v>2030</v>
      </c>
      <c r="P3" s="70">
        <v>2031</v>
      </c>
      <c r="Q3" s="70">
        <v>2032</v>
      </c>
      <c r="R3" s="70">
        <v>2033</v>
      </c>
      <c r="S3" s="70">
        <v>2034</v>
      </c>
      <c r="T3" s="70">
        <v>2035</v>
      </c>
      <c r="U3" s="70">
        <v>2036</v>
      </c>
      <c r="V3" s="70">
        <v>2037</v>
      </c>
      <c r="W3" s="70">
        <v>2038</v>
      </c>
      <c r="X3" s="70">
        <v>2039</v>
      </c>
    </row>
    <row r="4" spans="2:24" x14ac:dyDescent="0.3">
      <c r="B4" s="34" t="s">
        <v>27</v>
      </c>
      <c r="F4" s="58">
        <v>3.2</v>
      </c>
      <c r="G4" s="58">
        <f>F4</f>
        <v>3.2</v>
      </c>
      <c r="H4" s="58">
        <f t="shared" ref="H4:R4" si="0">G4</f>
        <v>3.2</v>
      </c>
      <c r="I4" s="58">
        <f t="shared" si="0"/>
        <v>3.2</v>
      </c>
      <c r="J4" s="58">
        <f t="shared" si="0"/>
        <v>3.2</v>
      </c>
      <c r="K4" s="58">
        <f t="shared" si="0"/>
        <v>3.2</v>
      </c>
      <c r="L4" s="58">
        <f t="shared" si="0"/>
        <v>3.2</v>
      </c>
      <c r="M4" s="58">
        <f t="shared" si="0"/>
        <v>3.2</v>
      </c>
      <c r="N4" s="58">
        <f t="shared" si="0"/>
        <v>3.2</v>
      </c>
      <c r="O4" s="58">
        <f t="shared" si="0"/>
        <v>3.2</v>
      </c>
      <c r="P4" s="58">
        <f t="shared" si="0"/>
        <v>3.2</v>
      </c>
      <c r="Q4" s="58">
        <f t="shared" si="0"/>
        <v>3.2</v>
      </c>
      <c r="R4" s="58">
        <f t="shared" si="0"/>
        <v>3.2</v>
      </c>
    </row>
    <row r="5" spans="2:24" x14ac:dyDescent="0.3">
      <c r="B5" s="34" t="s">
        <v>34</v>
      </c>
      <c r="F5" s="59">
        <v>1800</v>
      </c>
      <c r="G5" s="59">
        <f>F5</f>
        <v>1800</v>
      </c>
      <c r="H5" s="59">
        <f t="shared" ref="H5:R5" si="1">G5</f>
        <v>1800</v>
      </c>
      <c r="I5" s="59">
        <f t="shared" si="1"/>
        <v>1800</v>
      </c>
      <c r="J5" s="59">
        <f t="shared" si="1"/>
        <v>1800</v>
      </c>
      <c r="K5" s="59">
        <f t="shared" si="1"/>
        <v>1800</v>
      </c>
      <c r="L5" s="59">
        <f t="shared" si="1"/>
        <v>1800</v>
      </c>
      <c r="M5" s="59">
        <f t="shared" si="1"/>
        <v>1800</v>
      </c>
      <c r="N5" s="59">
        <f t="shared" si="1"/>
        <v>1800</v>
      </c>
      <c r="O5" s="59">
        <f t="shared" si="1"/>
        <v>1800</v>
      </c>
      <c r="P5" s="59">
        <f t="shared" si="1"/>
        <v>1800</v>
      </c>
      <c r="Q5" s="59">
        <f t="shared" si="1"/>
        <v>1800</v>
      </c>
      <c r="R5" s="59">
        <f t="shared" si="1"/>
        <v>1800</v>
      </c>
    </row>
    <row r="6" spans="2:24" x14ac:dyDescent="0.3">
      <c r="B6" s="34" t="s">
        <v>35</v>
      </c>
      <c r="F6" s="59">
        <v>22.6</v>
      </c>
      <c r="G6" s="59">
        <v>22.6</v>
      </c>
      <c r="H6" s="59">
        <v>22.6</v>
      </c>
      <c r="I6" s="59">
        <v>22.6</v>
      </c>
      <c r="J6" s="59">
        <v>22.6</v>
      </c>
      <c r="K6" s="59">
        <v>22.6</v>
      </c>
      <c r="L6" s="59">
        <v>22.6</v>
      </c>
      <c r="M6" s="59">
        <v>22.6</v>
      </c>
      <c r="N6" s="59">
        <v>22.6</v>
      </c>
      <c r="O6" s="59">
        <v>22.6</v>
      </c>
      <c r="P6" s="59">
        <v>22.6</v>
      </c>
      <c r="Q6" s="59">
        <v>22.6</v>
      </c>
      <c r="R6" s="59">
        <v>22.6</v>
      </c>
    </row>
    <row r="9" spans="2:24" x14ac:dyDescent="0.3">
      <c r="B9" s="34" t="s">
        <v>113</v>
      </c>
      <c r="E9" s="34" t="s">
        <v>112</v>
      </c>
      <c r="F9" s="60">
        <v>1825</v>
      </c>
      <c r="G9" s="60">
        <v>1825</v>
      </c>
      <c r="H9" s="60">
        <v>1825</v>
      </c>
      <c r="I9" s="60">
        <v>1825</v>
      </c>
      <c r="J9" s="60">
        <v>1825</v>
      </c>
      <c r="K9" s="60">
        <v>1825</v>
      </c>
      <c r="L9" s="60">
        <v>1825</v>
      </c>
      <c r="M9" s="60">
        <v>1825</v>
      </c>
      <c r="N9" s="60">
        <v>1825</v>
      </c>
      <c r="O9" s="60">
        <v>1825</v>
      </c>
      <c r="P9" s="60">
        <v>1825</v>
      </c>
      <c r="Q9" s="60">
        <v>1825</v>
      </c>
      <c r="R9" s="60">
        <v>1825</v>
      </c>
      <c r="T9" s="34" t="s">
        <v>138</v>
      </c>
    </row>
    <row r="10" spans="2:24" x14ac:dyDescent="0.3">
      <c r="B10" s="34" t="s">
        <v>36</v>
      </c>
      <c r="F10" s="35">
        <v>1.7999999999999999E-2</v>
      </c>
      <c r="G10" s="36">
        <v>1.9199999999999998E-2</v>
      </c>
      <c r="H10" s="36">
        <v>1.7899999999999999E-2</v>
      </c>
      <c r="I10" s="36">
        <v>1.72E-2</v>
      </c>
      <c r="J10" s="36">
        <v>1.6899999999999998E-2</v>
      </c>
      <c r="K10" s="36">
        <v>1.49E-2</v>
      </c>
      <c r="L10" s="36">
        <v>1.54E-2</v>
      </c>
      <c r="M10" s="36">
        <v>1.5900000000000001E-2</v>
      </c>
      <c r="N10" s="36">
        <v>1.52E-2</v>
      </c>
      <c r="O10" s="36">
        <v>1.44E-2</v>
      </c>
      <c r="P10" s="36">
        <v>1.3299999999999999E-2</v>
      </c>
      <c r="Q10" s="36">
        <v>1.26E-2</v>
      </c>
      <c r="R10" s="36">
        <v>6.7999999999999996E-3</v>
      </c>
    </row>
    <row r="11" spans="2:24" x14ac:dyDescent="0.3">
      <c r="B11" s="34" t="s">
        <v>34</v>
      </c>
      <c r="F11" s="35">
        <v>1.9E-3</v>
      </c>
      <c r="G11" s="35">
        <v>2.3999999999999998E-3</v>
      </c>
      <c r="H11" s="35">
        <v>2.8000000000000004E-3</v>
      </c>
      <c r="I11" s="35">
        <v>2.7000000000000001E-3</v>
      </c>
      <c r="J11" s="35">
        <v>2.7000000000000001E-3</v>
      </c>
      <c r="K11" s="35">
        <v>1.9E-3</v>
      </c>
      <c r="L11" s="35">
        <v>1.7000000000000001E-3</v>
      </c>
      <c r="M11" s="35">
        <v>1.7000000000000001E-3</v>
      </c>
      <c r="N11" s="35">
        <v>1.8E-3</v>
      </c>
      <c r="O11" s="35">
        <v>1.8E-3</v>
      </c>
      <c r="P11" s="35">
        <v>1.6000000000000001E-3</v>
      </c>
      <c r="Q11" s="35">
        <v>1.5E-3</v>
      </c>
      <c r="R11" s="35">
        <v>8.0000000000000004E-4</v>
      </c>
    </row>
    <row r="12" spans="2:24" x14ac:dyDescent="0.3">
      <c r="B12" s="34" t="s">
        <v>35</v>
      </c>
      <c r="F12" s="35">
        <v>4.0899999999999999E-2</v>
      </c>
      <c r="G12" s="35">
        <v>5.3400000000000003E-2</v>
      </c>
      <c r="H12" s="35">
        <v>5.9400000000000001E-2</v>
      </c>
      <c r="I12" s="35">
        <v>5.7200000000000001E-2</v>
      </c>
      <c r="J12" s="35">
        <v>5.2699999999999997E-2</v>
      </c>
      <c r="K12" s="35">
        <v>3.73E-2</v>
      </c>
      <c r="L12" s="35">
        <v>3.6400000000000002E-2</v>
      </c>
      <c r="M12" s="35">
        <v>3.9399999999999998E-2</v>
      </c>
      <c r="N12" s="35">
        <v>3.9699999999999999E-2</v>
      </c>
      <c r="O12" s="35">
        <v>4.2099999999999999E-2</v>
      </c>
      <c r="P12" s="35">
        <v>3.95E-2</v>
      </c>
      <c r="Q12" s="35">
        <v>3.5499999999999997E-2</v>
      </c>
      <c r="R12" s="35">
        <v>1.9900000000000001E-2</v>
      </c>
    </row>
    <row r="14" spans="2:24" x14ac:dyDescent="0.3">
      <c r="B14" s="34" t="s">
        <v>37</v>
      </c>
      <c r="F14" s="61">
        <v>65836</v>
      </c>
      <c r="G14" s="61">
        <v>69931</v>
      </c>
      <c r="H14" s="61">
        <v>65187</v>
      </c>
      <c r="I14" s="61">
        <v>62668</v>
      </c>
      <c r="J14" s="60">
        <v>61842</v>
      </c>
      <c r="K14" s="60">
        <v>54439</v>
      </c>
      <c r="L14" s="60">
        <v>56113</v>
      </c>
      <c r="M14" s="60">
        <v>58095</v>
      </c>
      <c r="N14" s="60">
        <v>55388</v>
      </c>
      <c r="O14" s="60">
        <v>52512</v>
      </c>
      <c r="P14" s="60">
        <v>48383</v>
      </c>
      <c r="Q14" s="60">
        <v>45961</v>
      </c>
      <c r="R14" s="60">
        <v>19310</v>
      </c>
    </row>
    <row r="15" spans="2:24" x14ac:dyDescent="0.3">
      <c r="B15" s="34" t="s">
        <v>38</v>
      </c>
      <c r="F15" s="60">
        <v>6</v>
      </c>
      <c r="G15" s="60">
        <v>14</v>
      </c>
      <c r="H15" s="60">
        <v>16</v>
      </c>
      <c r="I15" s="60">
        <v>16</v>
      </c>
      <c r="J15" s="60">
        <v>16</v>
      </c>
      <c r="K15" s="60">
        <v>11</v>
      </c>
      <c r="L15" s="60">
        <v>10</v>
      </c>
      <c r="M15" s="60">
        <v>10</v>
      </c>
      <c r="N15" s="60">
        <v>10</v>
      </c>
      <c r="O15" s="60">
        <v>10</v>
      </c>
      <c r="P15" s="60">
        <v>9</v>
      </c>
      <c r="Q15" s="60">
        <v>9</v>
      </c>
      <c r="R15" s="60">
        <v>4</v>
      </c>
    </row>
    <row r="16" spans="2:24" x14ac:dyDescent="0.3">
      <c r="B16" s="34" t="s">
        <v>39</v>
      </c>
      <c r="F16" s="60">
        <v>240</v>
      </c>
      <c r="G16" s="60">
        <v>313</v>
      </c>
      <c r="H16" s="60">
        <v>343</v>
      </c>
      <c r="I16" s="60">
        <v>336</v>
      </c>
      <c r="J16" s="60">
        <v>309</v>
      </c>
      <c r="K16" s="60">
        <v>219</v>
      </c>
      <c r="L16" s="60">
        <v>214</v>
      </c>
      <c r="M16" s="60">
        <v>214</v>
      </c>
      <c r="N16" s="60">
        <v>233</v>
      </c>
      <c r="O16" s="60">
        <v>247</v>
      </c>
      <c r="P16" s="60">
        <v>226</v>
      </c>
      <c r="Q16" s="60">
        <v>209</v>
      </c>
      <c r="R16" s="60">
        <v>91</v>
      </c>
    </row>
    <row r="17" spans="2:19" x14ac:dyDescent="0.3">
      <c r="F17" s="37"/>
    </row>
    <row r="18" spans="2:19" x14ac:dyDescent="0.3">
      <c r="B18" s="34" t="s">
        <v>40</v>
      </c>
    </row>
    <row r="19" spans="2:19" x14ac:dyDescent="0.3">
      <c r="B19" s="34" t="s">
        <v>41</v>
      </c>
    </row>
    <row r="20" spans="2:19" x14ac:dyDescent="0.3">
      <c r="B20" s="34" t="s">
        <v>39</v>
      </c>
    </row>
    <row r="22" spans="2:19" x14ac:dyDescent="0.3">
      <c r="B22" s="34" t="s">
        <v>42</v>
      </c>
      <c r="F22" s="60">
        <f>0.883*F14</f>
        <v>58133.188000000002</v>
      </c>
      <c r="G22" s="60">
        <f t="shared" ref="G22:R22" si="2">0.883*G14</f>
        <v>61749.073000000004</v>
      </c>
      <c r="H22" s="60">
        <f t="shared" si="2"/>
        <v>57560.120999999999</v>
      </c>
      <c r="I22" s="60">
        <f t="shared" si="2"/>
        <v>55335.843999999997</v>
      </c>
      <c r="J22" s="60">
        <f t="shared" si="2"/>
        <v>54606.485999999997</v>
      </c>
      <c r="K22" s="60">
        <f t="shared" si="2"/>
        <v>48069.637000000002</v>
      </c>
      <c r="L22" s="60">
        <f t="shared" si="2"/>
        <v>49547.779000000002</v>
      </c>
      <c r="M22" s="60">
        <f t="shared" si="2"/>
        <v>51297.885000000002</v>
      </c>
      <c r="N22" s="60">
        <f t="shared" si="2"/>
        <v>48907.603999999999</v>
      </c>
      <c r="O22" s="60">
        <f t="shared" si="2"/>
        <v>46368.095999999998</v>
      </c>
      <c r="P22" s="60">
        <f t="shared" si="2"/>
        <v>42722.188999999998</v>
      </c>
      <c r="Q22" s="60">
        <f t="shared" si="2"/>
        <v>40583.563000000002</v>
      </c>
      <c r="R22" s="60">
        <f t="shared" si="2"/>
        <v>17050.73</v>
      </c>
    </row>
    <row r="23" spans="2:19" x14ac:dyDescent="0.3">
      <c r="B23" s="34" t="s">
        <v>43</v>
      </c>
      <c r="F23" s="60">
        <f>0.7*F15</f>
        <v>4.1999999999999993</v>
      </c>
      <c r="G23" s="60">
        <f t="shared" ref="G23:R23" si="3">0.7*G15</f>
        <v>9.7999999999999989</v>
      </c>
      <c r="H23" s="60">
        <f t="shared" si="3"/>
        <v>11.2</v>
      </c>
      <c r="I23" s="60">
        <f t="shared" si="3"/>
        <v>11.2</v>
      </c>
      <c r="J23" s="60">
        <f t="shared" si="3"/>
        <v>11.2</v>
      </c>
      <c r="K23" s="60">
        <f t="shared" si="3"/>
        <v>7.6999999999999993</v>
      </c>
      <c r="L23" s="60">
        <f t="shared" si="3"/>
        <v>7</v>
      </c>
      <c r="M23" s="60">
        <f t="shared" si="3"/>
        <v>7</v>
      </c>
      <c r="N23" s="60">
        <f t="shared" si="3"/>
        <v>7</v>
      </c>
      <c r="O23" s="60">
        <f t="shared" si="3"/>
        <v>7</v>
      </c>
      <c r="P23" s="60">
        <f t="shared" si="3"/>
        <v>6.3</v>
      </c>
      <c r="Q23" s="60">
        <f t="shared" si="3"/>
        <v>6.3</v>
      </c>
      <c r="R23" s="60">
        <f t="shared" si="3"/>
        <v>2.8</v>
      </c>
    </row>
    <row r="24" spans="2:19" x14ac:dyDescent="0.3">
      <c r="B24" s="34" t="s">
        <v>44</v>
      </c>
      <c r="F24" s="60">
        <f>0.6*F16</f>
        <v>144</v>
      </c>
      <c r="G24" s="60">
        <f t="shared" ref="G24:R24" si="4">0.6*G16</f>
        <v>187.79999999999998</v>
      </c>
      <c r="H24" s="60">
        <f t="shared" si="4"/>
        <v>205.79999999999998</v>
      </c>
      <c r="I24" s="60">
        <f t="shared" si="4"/>
        <v>201.6</v>
      </c>
      <c r="J24" s="60">
        <f t="shared" si="4"/>
        <v>185.4</v>
      </c>
      <c r="K24" s="60">
        <f t="shared" si="4"/>
        <v>131.4</v>
      </c>
      <c r="L24" s="60">
        <f t="shared" si="4"/>
        <v>128.4</v>
      </c>
      <c r="M24" s="60">
        <f t="shared" si="4"/>
        <v>128.4</v>
      </c>
      <c r="N24" s="60">
        <f t="shared" si="4"/>
        <v>139.79999999999998</v>
      </c>
      <c r="O24" s="60">
        <f t="shared" si="4"/>
        <v>148.19999999999999</v>
      </c>
      <c r="P24" s="60">
        <f t="shared" si="4"/>
        <v>135.6</v>
      </c>
      <c r="Q24" s="60">
        <f t="shared" si="4"/>
        <v>125.39999999999999</v>
      </c>
      <c r="R24" s="60">
        <f t="shared" si="4"/>
        <v>54.6</v>
      </c>
    </row>
    <row r="25" spans="2:19" x14ac:dyDescent="0.3">
      <c r="B25" s="34" t="s">
        <v>45</v>
      </c>
    </row>
    <row r="27" spans="2:19" x14ac:dyDescent="0.3">
      <c r="B27" s="34" t="s">
        <v>46</v>
      </c>
      <c r="E27" s="34" t="s">
        <v>112</v>
      </c>
      <c r="F27" s="38">
        <f>F4*F22</f>
        <v>186026.20160000003</v>
      </c>
      <c r="G27" s="38">
        <f t="shared" ref="G27:R27" si="5">G4*G22</f>
        <v>197597.03360000002</v>
      </c>
      <c r="H27" s="38">
        <f t="shared" si="5"/>
        <v>184192.3872</v>
      </c>
      <c r="I27" s="38">
        <f t="shared" si="5"/>
        <v>177074.70079999999</v>
      </c>
      <c r="J27" s="38">
        <f t="shared" si="5"/>
        <v>174740.75520000001</v>
      </c>
      <c r="K27" s="38">
        <f t="shared" si="5"/>
        <v>153822.83840000001</v>
      </c>
      <c r="L27" s="38">
        <f t="shared" si="5"/>
        <v>158552.89280000003</v>
      </c>
      <c r="M27" s="38">
        <f t="shared" si="5"/>
        <v>164153.23200000002</v>
      </c>
      <c r="N27" s="38">
        <f t="shared" si="5"/>
        <v>156504.3328</v>
      </c>
      <c r="O27" s="38">
        <f t="shared" si="5"/>
        <v>148377.90719999999</v>
      </c>
      <c r="P27" s="38">
        <f t="shared" si="5"/>
        <v>136711.0048</v>
      </c>
      <c r="Q27" s="38">
        <f t="shared" si="5"/>
        <v>129867.40160000001</v>
      </c>
      <c r="R27" s="38">
        <f t="shared" si="5"/>
        <v>54562.336000000003</v>
      </c>
    </row>
    <row r="28" spans="2:19" x14ac:dyDescent="0.3">
      <c r="B28" s="34" t="s">
        <v>47</v>
      </c>
      <c r="F28" s="38">
        <f t="shared" ref="F28:R29" si="6">F5*F23</f>
        <v>7559.9999999999991</v>
      </c>
      <c r="G28" s="38">
        <f t="shared" si="6"/>
        <v>17639.999999999996</v>
      </c>
      <c r="H28" s="38">
        <f t="shared" si="6"/>
        <v>20160</v>
      </c>
      <c r="I28" s="38">
        <f t="shared" si="6"/>
        <v>20160</v>
      </c>
      <c r="J28" s="38">
        <f t="shared" si="6"/>
        <v>20160</v>
      </c>
      <c r="K28" s="38">
        <f t="shared" si="6"/>
        <v>13859.999999999998</v>
      </c>
      <c r="L28" s="38">
        <f t="shared" si="6"/>
        <v>12600</v>
      </c>
      <c r="M28" s="38">
        <f t="shared" si="6"/>
        <v>12600</v>
      </c>
      <c r="N28" s="38">
        <f t="shared" si="6"/>
        <v>12600</v>
      </c>
      <c r="O28" s="38">
        <f t="shared" si="6"/>
        <v>12600</v>
      </c>
      <c r="P28" s="38">
        <f t="shared" si="6"/>
        <v>11340</v>
      </c>
      <c r="Q28" s="38">
        <f t="shared" si="6"/>
        <v>11340</v>
      </c>
      <c r="R28" s="38">
        <f t="shared" si="6"/>
        <v>5040</v>
      </c>
    </row>
    <row r="29" spans="2:19" x14ac:dyDescent="0.3">
      <c r="B29" s="34" t="s">
        <v>48</v>
      </c>
      <c r="F29" s="39">
        <f t="shared" si="6"/>
        <v>3254.4</v>
      </c>
      <c r="G29" s="39">
        <f t="shared" si="6"/>
        <v>4244.28</v>
      </c>
      <c r="H29" s="39">
        <f t="shared" si="6"/>
        <v>4651.08</v>
      </c>
      <c r="I29" s="39">
        <f t="shared" si="6"/>
        <v>4556.16</v>
      </c>
      <c r="J29" s="39">
        <f t="shared" si="6"/>
        <v>4190.04</v>
      </c>
      <c r="K29" s="39">
        <f t="shared" si="6"/>
        <v>2969.6400000000003</v>
      </c>
      <c r="L29" s="39">
        <f t="shared" si="6"/>
        <v>2901.84</v>
      </c>
      <c r="M29" s="39">
        <f t="shared" si="6"/>
        <v>2901.84</v>
      </c>
      <c r="N29" s="39">
        <f t="shared" si="6"/>
        <v>3159.48</v>
      </c>
      <c r="O29" s="39">
        <f t="shared" si="6"/>
        <v>3349.32</v>
      </c>
      <c r="P29" s="39">
        <f t="shared" si="6"/>
        <v>3064.56</v>
      </c>
      <c r="Q29" s="39">
        <f t="shared" si="6"/>
        <v>2834.04</v>
      </c>
      <c r="R29" s="39">
        <f t="shared" si="6"/>
        <v>1233.96</v>
      </c>
    </row>
    <row r="30" spans="2:19" x14ac:dyDescent="0.3">
      <c r="B30" s="40" t="s">
        <v>49</v>
      </c>
      <c r="F30" s="41">
        <f>SUM(F27:F29)</f>
        <v>196840.60160000002</v>
      </c>
      <c r="G30" s="41">
        <f t="shared" ref="G30:R30" si="7">SUM(G27:G29)</f>
        <v>219481.31360000002</v>
      </c>
      <c r="H30" s="41">
        <f t="shared" si="7"/>
        <v>209003.46719999998</v>
      </c>
      <c r="I30" s="41">
        <f t="shared" si="7"/>
        <v>201790.86079999999</v>
      </c>
      <c r="J30" s="41">
        <f t="shared" si="7"/>
        <v>199090.79520000002</v>
      </c>
      <c r="K30" s="41">
        <f t="shared" si="7"/>
        <v>170652.47840000002</v>
      </c>
      <c r="L30" s="41">
        <f t="shared" si="7"/>
        <v>174054.73280000003</v>
      </c>
      <c r="M30" s="41">
        <f t="shared" si="7"/>
        <v>179655.07200000001</v>
      </c>
      <c r="N30" s="41">
        <f t="shared" si="7"/>
        <v>172263.81280000001</v>
      </c>
      <c r="O30" s="41">
        <f t="shared" si="7"/>
        <v>164327.22719999999</v>
      </c>
      <c r="P30" s="41">
        <f t="shared" si="7"/>
        <v>151115.56479999999</v>
      </c>
      <c r="Q30" s="41">
        <f t="shared" si="7"/>
        <v>144041.44160000002</v>
      </c>
      <c r="R30" s="41">
        <f t="shared" si="7"/>
        <v>60836.296000000002</v>
      </c>
      <c r="S30" s="38">
        <f>SUM(F30:R30)</f>
        <v>2243153.6640000003</v>
      </c>
    </row>
    <row r="32" spans="2:19" x14ac:dyDescent="0.3">
      <c r="B32" s="34" t="s">
        <v>50</v>
      </c>
      <c r="F32" s="38">
        <v>8718</v>
      </c>
      <c r="G32" s="38">
        <v>9260</v>
      </c>
      <c r="H32" s="38">
        <v>8632</v>
      </c>
      <c r="I32" s="38">
        <v>8298</v>
      </c>
      <c r="J32" s="38">
        <v>8189</v>
      </c>
      <c r="K32" s="38">
        <v>7208</v>
      </c>
      <c r="L32" s="38">
        <v>7430</v>
      </c>
      <c r="M32" s="38">
        <v>7691</v>
      </c>
      <c r="N32" s="38">
        <v>7334</v>
      </c>
      <c r="O32" s="38">
        <v>6953</v>
      </c>
      <c r="P32" s="38">
        <v>6407</v>
      </c>
      <c r="Q32" s="38">
        <v>6086</v>
      </c>
      <c r="R32" s="38">
        <v>2557</v>
      </c>
    </row>
    <row r="33" spans="2:18" x14ac:dyDescent="0.3">
      <c r="B33" s="34" t="s">
        <v>51</v>
      </c>
      <c r="F33" s="38">
        <v>4462</v>
      </c>
      <c r="G33" s="38">
        <v>4760</v>
      </c>
      <c r="H33" s="38">
        <v>4463</v>
      </c>
      <c r="I33" s="38">
        <v>4291</v>
      </c>
      <c r="J33" s="38">
        <v>4230</v>
      </c>
      <c r="K33" s="38">
        <v>3700</v>
      </c>
      <c r="L33" s="38">
        <v>3807</v>
      </c>
      <c r="M33" s="38">
        <v>3936</v>
      </c>
      <c r="N33" s="38">
        <v>3765</v>
      </c>
      <c r="O33" s="38">
        <v>3577</v>
      </c>
      <c r="P33" s="38">
        <v>3295</v>
      </c>
      <c r="Q33" s="38">
        <v>3128</v>
      </c>
      <c r="R33" s="38">
        <v>1316</v>
      </c>
    </row>
    <row r="34" spans="2:18" x14ac:dyDescent="0.3">
      <c r="B34" s="34" t="s">
        <v>52</v>
      </c>
      <c r="F34" s="39">
        <v>7862</v>
      </c>
      <c r="G34" s="39">
        <v>8351</v>
      </c>
      <c r="H34" s="39">
        <v>7764</v>
      </c>
      <c r="I34" s="39">
        <v>7484</v>
      </c>
      <c r="J34" s="39">
        <v>7385</v>
      </c>
      <c r="K34" s="39">
        <v>6501</v>
      </c>
      <c r="L34" s="39">
        <v>6701</v>
      </c>
      <c r="M34" s="39">
        <v>6936</v>
      </c>
      <c r="N34" s="39">
        <v>6614</v>
      </c>
      <c r="O34" s="39">
        <v>6271</v>
      </c>
      <c r="P34" s="39">
        <v>5778</v>
      </c>
      <c r="Q34" s="39">
        <v>5489</v>
      </c>
      <c r="R34" s="39">
        <v>2306</v>
      </c>
    </row>
    <row r="35" spans="2:18" x14ac:dyDescent="0.3">
      <c r="B35" s="34" t="s">
        <v>53</v>
      </c>
      <c r="F35" s="38">
        <f>SUM(F32:F34)*-1</f>
        <v>-21042</v>
      </c>
      <c r="G35" s="38">
        <f t="shared" ref="G35:R35" si="8">SUM(G32:G34)*-1</f>
        <v>-22371</v>
      </c>
      <c r="H35" s="38">
        <f t="shared" si="8"/>
        <v>-20859</v>
      </c>
      <c r="I35" s="38">
        <f t="shared" si="8"/>
        <v>-20073</v>
      </c>
      <c r="J35" s="38">
        <f t="shared" si="8"/>
        <v>-19804</v>
      </c>
      <c r="K35" s="38">
        <f t="shared" si="8"/>
        <v>-17409</v>
      </c>
      <c r="L35" s="38">
        <f t="shared" si="8"/>
        <v>-17938</v>
      </c>
      <c r="M35" s="38">
        <f t="shared" si="8"/>
        <v>-18563</v>
      </c>
      <c r="N35" s="38">
        <f t="shared" si="8"/>
        <v>-17713</v>
      </c>
      <c r="O35" s="38">
        <f t="shared" si="8"/>
        <v>-16801</v>
      </c>
      <c r="P35" s="38">
        <f t="shared" si="8"/>
        <v>-15480</v>
      </c>
      <c r="Q35" s="38">
        <f t="shared" si="8"/>
        <v>-14703</v>
      </c>
      <c r="R35" s="38">
        <f t="shared" si="8"/>
        <v>-6179</v>
      </c>
    </row>
    <row r="37" spans="2:18" x14ac:dyDescent="0.3">
      <c r="B37" s="34" t="s">
        <v>54</v>
      </c>
      <c r="F37" s="38">
        <f>F30+F35</f>
        <v>175798.60160000002</v>
      </c>
      <c r="G37" s="38">
        <f t="shared" ref="G37:R37" si="9">G30+G35</f>
        <v>197110.31360000002</v>
      </c>
      <c r="H37" s="38">
        <f t="shared" si="9"/>
        <v>188144.46719999998</v>
      </c>
      <c r="I37" s="38">
        <f t="shared" si="9"/>
        <v>181717.86079999999</v>
      </c>
      <c r="J37" s="38">
        <f t="shared" si="9"/>
        <v>179286.79520000002</v>
      </c>
      <c r="K37" s="38">
        <f t="shared" si="9"/>
        <v>153243.47840000002</v>
      </c>
      <c r="L37" s="38">
        <f t="shared" si="9"/>
        <v>156116.73280000003</v>
      </c>
      <c r="M37" s="38">
        <f t="shared" si="9"/>
        <v>161092.07200000001</v>
      </c>
      <c r="N37" s="38">
        <f t="shared" si="9"/>
        <v>154550.81280000001</v>
      </c>
      <c r="O37" s="38">
        <f t="shared" si="9"/>
        <v>147526.22719999999</v>
      </c>
      <c r="P37" s="38">
        <f t="shared" si="9"/>
        <v>135635.56479999999</v>
      </c>
      <c r="Q37" s="38">
        <f t="shared" si="9"/>
        <v>129338.44160000002</v>
      </c>
      <c r="R37" s="38">
        <f t="shared" si="9"/>
        <v>54657.296000000002</v>
      </c>
    </row>
    <row r="39" spans="2:18" x14ac:dyDescent="0.3">
      <c r="B39" s="34" t="s">
        <v>55</v>
      </c>
      <c r="F39" s="62">
        <v>10015</v>
      </c>
      <c r="G39" s="62">
        <v>11101</v>
      </c>
      <c r="H39" s="62">
        <v>10755</v>
      </c>
      <c r="I39" s="62">
        <v>10364</v>
      </c>
      <c r="J39" s="62">
        <v>10228</v>
      </c>
      <c r="K39" s="62">
        <v>8835</v>
      </c>
      <c r="L39" s="62">
        <v>9048</v>
      </c>
      <c r="M39" s="62">
        <v>9325</v>
      </c>
      <c r="N39" s="62">
        <v>8962</v>
      </c>
      <c r="O39" s="62">
        <v>8534</v>
      </c>
      <c r="P39" s="62">
        <v>7850</v>
      </c>
      <c r="Q39" s="62">
        <v>7453</v>
      </c>
      <c r="R39" s="62">
        <v>3145</v>
      </c>
    </row>
    <row r="40" spans="2:18" x14ac:dyDescent="0.3">
      <c r="B40" s="34" t="s">
        <v>56</v>
      </c>
      <c r="F40" s="62">
        <v>65932</v>
      </c>
      <c r="G40" s="62">
        <v>56653</v>
      </c>
      <c r="H40" s="62">
        <v>55693</v>
      </c>
      <c r="I40" s="62">
        <v>54475</v>
      </c>
      <c r="J40" s="62">
        <v>51965</v>
      </c>
      <c r="K40" s="62">
        <v>55122</v>
      </c>
      <c r="L40" s="62">
        <v>53136</v>
      </c>
      <c r="M40" s="62">
        <v>52871</v>
      </c>
      <c r="N40" s="62">
        <v>52288</v>
      </c>
      <c r="O40" s="62">
        <v>51373</v>
      </c>
      <c r="P40" s="62">
        <v>50463</v>
      </c>
      <c r="Q40" s="62">
        <v>54701</v>
      </c>
      <c r="R40" s="62">
        <v>19604</v>
      </c>
    </row>
    <row r="41" spans="2:18" x14ac:dyDescent="0.3">
      <c r="B41" s="34" t="s">
        <v>57</v>
      </c>
      <c r="F41" s="62">
        <v>18396</v>
      </c>
      <c r="G41" s="62">
        <v>18396</v>
      </c>
      <c r="H41" s="62">
        <v>18396</v>
      </c>
      <c r="I41" s="62">
        <v>18396</v>
      </c>
      <c r="J41" s="62">
        <v>18396</v>
      </c>
      <c r="K41" s="62">
        <v>18396</v>
      </c>
      <c r="L41" s="62">
        <v>18396</v>
      </c>
      <c r="M41" s="62">
        <v>18396</v>
      </c>
      <c r="N41" s="62">
        <v>18396</v>
      </c>
      <c r="O41" s="62">
        <v>18396</v>
      </c>
      <c r="P41" s="62">
        <v>18396</v>
      </c>
      <c r="Q41" s="62">
        <v>18396</v>
      </c>
      <c r="R41" s="62">
        <v>8042</v>
      </c>
    </row>
    <row r="42" spans="2:18" x14ac:dyDescent="0.3">
      <c r="B42" s="34" t="s">
        <v>58</v>
      </c>
      <c r="F42" s="63">
        <v>6324</v>
      </c>
      <c r="G42" s="63">
        <v>5785</v>
      </c>
      <c r="H42" s="63">
        <v>5785</v>
      </c>
      <c r="I42" s="63">
        <v>5785</v>
      </c>
      <c r="J42" s="63">
        <v>5785</v>
      </c>
      <c r="K42" s="63">
        <v>5785</v>
      </c>
      <c r="L42" s="63">
        <v>5785</v>
      </c>
      <c r="M42" s="63">
        <v>5785</v>
      </c>
      <c r="N42" s="63">
        <v>5785</v>
      </c>
      <c r="O42" s="63">
        <v>5785</v>
      </c>
      <c r="P42" s="63">
        <v>5785</v>
      </c>
      <c r="Q42" s="63">
        <v>5785</v>
      </c>
      <c r="R42" s="63">
        <v>5785</v>
      </c>
    </row>
    <row r="43" spans="2:18" x14ac:dyDescent="0.3">
      <c r="B43" s="34" t="s">
        <v>59</v>
      </c>
      <c r="F43" s="62">
        <f>SUM(F39:F42)*-1</f>
        <v>-100667</v>
      </c>
      <c r="G43" s="62">
        <f t="shared" ref="G43:R43" si="10">SUM(G39:G42)*-1</f>
        <v>-91935</v>
      </c>
      <c r="H43" s="62">
        <f t="shared" si="10"/>
        <v>-90629</v>
      </c>
      <c r="I43" s="62">
        <f t="shared" si="10"/>
        <v>-89020</v>
      </c>
      <c r="J43" s="62">
        <f t="shared" si="10"/>
        <v>-86374</v>
      </c>
      <c r="K43" s="62">
        <f t="shared" si="10"/>
        <v>-88138</v>
      </c>
      <c r="L43" s="62">
        <f t="shared" si="10"/>
        <v>-86365</v>
      </c>
      <c r="M43" s="62">
        <f t="shared" si="10"/>
        <v>-86377</v>
      </c>
      <c r="N43" s="62">
        <f t="shared" si="10"/>
        <v>-85431</v>
      </c>
      <c r="O43" s="62">
        <f t="shared" si="10"/>
        <v>-84088</v>
      </c>
      <c r="P43" s="62">
        <f t="shared" si="10"/>
        <v>-82494</v>
      </c>
      <c r="Q43" s="62">
        <f t="shared" si="10"/>
        <v>-86335</v>
      </c>
      <c r="R43" s="62">
        <f t="shared" si="10"/>
        <v>-36576</v>
      </c>
    </row>
    <row r="45" spans="2:18" x14ac:dyDescent="0.3">
      <c r="B45" s="34" t="s">
        <v>118</v>
      </c>
      <c r="F45" s="38">
        <f>F37+F43</f>
        <v>75131.601600000024</v>
      </c>
      <c r="G45" s="38">
        <f>G37+G43</f>
        <v>105175.31360000002</v>
      </c>
      <c r="H45" s="38">
        <f t="shared" ref="H45:R45" si="11">H37+H43</f>
        <v>97515.467199999985</v>
      </c>
      <c r="I45" s="38">
        <f t="shared" si="11"/>
        <v>92697.860799999995</v>
      </c>
      <c r="J45" s="38">
        <f t="shared" si="11"/>
        <v>92912.795200000022</v>
      </c>
      <c r="K45" s="38">
        <f t="shared" si="11"/>
        <v>65105.478400000022</v>
      </c>
      <c r="L45" s="38">
        <f t="shared" si="11"/>
        <v>69751.732800000027</v>
      </c>
      <c r="M45" s="38">
        <f t="shared" si="11"/>
        <v>74715.072000000015</v>
      </c>
      <c r="N45" s="38">
        <f t="shared" si="11"/>
        <v>69119.812800000014</v>
      </c>
      <c r="O45" s="38">
        <f t="shared" si="11"/>
        <v>63438.227199999994</v>
      </c>
      <c r="P45" s="38">
        <f t="shared" si="11"/>
        <v>53141.564799999993</v>
      </c>
      <c r="Q45" s="38">
        <f t="shared" si="11"/>
        <v>43003.44160000002</v>
      </c>
      <c r="R45" s="38">
        <f t="shared" si="11"/>
        <v>18081.296000000002</v>
      </c>
    </row>
    <row r="46" spans="2:18" x14ac:dyDescent="0.3">
      <c r="D46" s="34" t="s">
        <v>139</v>
      </c>
      <c r="F46" s="38">
        <f>F45/365</f>
        <v>205.84000438356171</v>
      </c>
      <c r="G46" s="38">
        <f t="shared" ref="G46:R46" si="12">G45/365</f>
        <v>288.15154410958911</v>
      </c>
      <c r="H46" s="38">
        <f t="shared" si="12"/>
        <v>267.16566356164378</v>
      </c>
      <c r="I46" s="38">
        <f t="shared" si="12"/>
        <v>253.96674191780821</v>
      </c>
      <c r="J46" s="38">
        <f t="shared" si="12"/>
        <v>254.55560328767129</v>
      </c>
      <c r="K46" s="38">
        <f t="shared" si="12"/>
        <v>178.3711736986302</v>
      </c>
      <c r="L46" s="38">
        <f t="shared" si="12"/>
        <v>191.10063780821926</v>
      </c>
      <c r="M46" s="38">
        <f t="shared" si="12"/>
        <v>204.69882739726032</v>
      </c>
      <c r="N46" s="38">
        <f t="shared" si="12"/>
        <v>189.36935013698633</v>
      </c>
      <c r="O46" s="38">
        <f t="shared" si="12"/>
        <v>173.80336219178079</v>
      </c>
      <c r="P46" s="38">
        <f t="shared" si="12"/>
        <v>145.59332821917806</v>
      </c>
      <c r="Q46" s="38">
        <f t="shared" si="12"/>
        <v>117.81764821917814</v>
      </c>
      <c r="R46" s="38">
        <f t="shared" si="12"/>
        <v>49.537797260273976</v>
      </c>
    </row>
    <row r="48" spans="2:18" x14ac:dyDescent="0.3">
      <c r="B48" s="34" t="s">
        <v>60</v>
      </c>
      <c r="D48" s="38">
        <v>71379</v>
      </c>
      <c r="E48" s="38">
        <v>8822</v>
      </c>
    </row>
    <row r="49" spans="2:20" x14ac:dyDescent="0.3">
      <c r="B49" s="34" t="s">
        <v>61</v>
      </c>
      <c r="D49" s="38">
        <v>29100</v>
      </c>
      <c r="E49" s="38">
        <v>13250</v>
      </c>
    </row>
    <row r="50" spans="2:20" x14ac:dyDescent="0.3">
      <c r="B50" s="34" t="s">
        <v>62</v>
      </c>
      <c r="D50" s="38">
        <v>24104</v>
      </c>
      <c r="E50" s="38">
        <v>2096</v>
      </c>
    </row>
    <row r="51" spans="2:20" x14ac:dyDescent="0.3">
      <c r="B51" s="34" t="s">
        <v>63</v>
      </c>
      <c r="D51" s="38">
        <v>22732</v>
      </c>
      <c r="E51" s="38">
        <v>1977</v>
      </c>
    </row>
    <row r="52" spans="2:20" x14ac:dyDescent="0.3">
      <c r="B52" s="34" t="s">
        <v>64</v>
      </c>
      <c r="D52" s="38">
        <v>0</v>
      </c>
      <c r="E52" s="38">
        <v>8701</v>
      </c>
    </row>
    <row r="53" spans="2:20" x14ac:dyDescent="0.3">
      <c r="B53" s="34" t="s">
        <v>65</v>
      </c>
      <c r="D53" s="39">
        <v>1031</v>
      </c>
      <c r="E53" s="39">
        <v>511</v>
      </c>
    </row>
    <row r="54" spans="2:20" x14ac:dyDescent="0.3">
      <c r="B54" s="34" t="s">
        <v>66</v>
      </c>
      <c r="D54" s="38">
        <f>SUM(D48:D53)*-1</f>
        <v>-148346</v>
      </c>
      <c r="E54" s="38">
        <f>SUM(E48:E53)*-1</f>
        <v>-35357</v>
      </c>
    </row>
    <row r="55" spans="2:20" x14ac:dyDescent="0.3">
      <c r="D55" s="38"/>
      <c r="E55" s="38"/>
    </row>
    <row r="56" spans="2:20" x14ac:dyDescent="0.3">
      <c r="B56" s="34" t="s">
        <v>67</v>
      </c>
      <c r="F56" s="38">
        <v>14293</v>
      </c>
      <c r="G56" s="38">
        <v>17208</v>
      </c>
      <c r="H56" s="38">
        <v>7629</v>
      </c>
      <c r="I56" s="38">
        <v>4859</v>
      </c>
      <c r="J56" s="38">
        <v>4831</v>
      </c>
      <c r="K56" s="38">
        <v>4242</v>
      </c>
      <c r="L56" s="38">
        <v>3858</v>
      </c>
      <c r="M56" s="38">
        <v>5254</v>
      </c>
      <c r="N56" s="38">
        <v>6657</v>
      </c>
      <c r="O56" s="38">
        <v>9545</v>
      </c>
      <c r="P56" s="38">
        <v>6324</v>
      </c>
      <c r="Q56" s="38">
        <v>1241</v>
      </c>
      <c r="R56" s="38">
        <v>2340</v>
      </c>
    </row>
    <row r="57" spans="2:20" x14ac:dyDescent="0.3"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</row>
    <row r="58" spans="2:20" x14ac:dyDescent="0.3">
      <c r="B58" s="34" t="s">
        <v>132</v>
      </c>
      <c r="F58" s="38">
        <f>F35+F43-F56</f>
        <v>-136002</v>
      </c>
      <c r="G58" s="38">
        <f t="shared" ref="G58:R58" si="13">G35+G43-G56</f>
        <v>-131514</v>
      </c>
      <c r="H58" s="38">
        <f t="shared" si="13"/>
        <v>-119117</v>
      </c>
      <c r="I58" s="38">
        <f t="shared" si="13"/>
        <v>-113952</v>
      </c>
      <c r="J58" s="38">
        <f t="shared" si="13"/>
        <v>-111009</v>
      </c>
      <c r="K58" s="38">
        <f t="shared" si="13"/>
        <v>-109789</v>
      </c>
      <c r="L58" s="38">
        <f t="shared" si="13"/>
        <v>-108161</v>
      </c>
      <c r="M58" s="38">
        <f t="shared" si="13"/>
        <v>-110194</v>
      </c>
      <c r="N58" s="38">
        <f t="shared" si="13"/>
        <v>-109801</v>
      </c>
      <c r="O58" s="38">
        <f t="shared" si="13"/>
        <v>-110434</v>
      </c>
      <c r="P58" s="38">
        <f t="shared" si="13"/>
        <v>-104298</v>
      </c>
      <c r="Q58" s="38">
        <f t="shared" si="13"/>
        <v>-102279</v>
      </c>
      <c r="R58" s="38">
        <f t="shared" si="13"/>
        <v>-45095</v>
      </c>
      <c r="S58" s="38">
        <f>SUM(F58:R58)</f>
        <v>-1411645</v>
      </c>
      <c r="T58" s="57">
        <f>S58/S30*-1</f>
        <v>0.62931266040987544</v>
      </c>
    </row>
    <row r="59" spans="2:20" x14ac:dyDescent="0.3">
      <c r="B59" s="34" t="s">
        <v>133</v>
      </c>
      <c r="F59" s="57">
        <f>(F58/F30)*-1</f>
        <v>0.69092452926134518</v>
      </c>
      <c r="G59" s="57">
        <f t="shared" ref="G59:S59" si="14">(G58/G30)*-1</f>
        <v>0.59920363079146433</v>
      </c>
      <c r="H59" s="57">
        <f t="shared" si="14"/>
        <v>0.56992834423179373</v>
      </c>
      <c r="I59" s="57">
        <f t="shared" si="14"/>
        <v>0.56470347342906024</v>
      </c>
      <c r="J59" s="57">
        <f t="shared" si="14"/>
        <v>0.55757977102097578</v>
      </c>
      <c r="K59" s="57">
        <f t="shared" si="14"/>
        <v>0.6433484062426601</v>
      </c>
      <c r="L59" s="57">
        <f t="shared" si="14"/>
        <v>0.62141947110558537</v>
      </c>
      <c r="M59" s="57">
        <f t="shared" si="14"/>
        <v>0.61336425837173136</v>
      </c>
      <c r="N59" s="57">
        <f t="shared" si="14"/>
        <v>0.63740026541430406</v>
      </c>
      <c r="O59" s="57">
        <f t="shared" si="14"/>
        <v>0.67203714126809055</v>
      </c>
      <c r="P59" s="57">
        <f t="shared" si="14"/>
        <v>0.69018701109999758</v>
      </c>
      <c r="Q59" s="57">
        <f t="shared" si="14"/>
        <v>0.7100664840888401</v>
      </c>
      <c r="R59" s="57">
        <f t="shared" si="14"/>
        <v>0.74125157126594288</v>
      </c>
      <c r="S59" s="68">
        <f t="shared" si="14"/>
        <v>0.62931266040987544</v>
      </c>
    </row>
    <row r="60" spans="2:20" x14ac:dyDescent="0.3"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</row>
    <row r="61" spans="2:20" x14ac:dyDescent="0.3">
      <c r="B61" s="34" t="s">
        <v>68</v>
      </c>
      <c r="F61" s="38">
        <v>2204</v>
      </c>
      <c r="G61" s="38">
        <v>3666</v>
      </c>
      <c r="H61" s="38">
        <v>3458</v>
      </c>
      <c r="I61" s="38">
        <v>8315</v>
      </c>
      <c r="J61" s="38">
        <v>10583</v>
      </c>
      <c r="K61" s="38">
        <v>6205</v>
      </c>
      <c r="L61" s="38">
        <v>9050</v>
      </c>
      <c r="M61" s="38">
        <v>10415</v>
      </c>
      <c r="N61" s="38">
        <v>9771</v>
      </c>
      <c r="O61" s="38">
        <v>8702</v>
      </c>
      <c r="P61" s="38">
        <v>6703</v>
      </c>
      <c r="Q61" s="38">
        <v>4598</v>
      </c>
      <c r="R61" s="38">
        <v>2106</v>
      </c>
      <c r="S61" s="38">
        <f>SUM(F61:R61)</f>
        <v>85776</v>
      </c>
    </row>
    <row r="62" spans="2:20" x14ac:dyDescent="0.3">
      <c r="C62" s="34" t="s">
        <v>135</v>
      </c>
      <c r="S62" s="57">
        <f>S61/S30</f>
        <v>3.8239020971503085E-2</v>
      </c>
    </row>
    <row r="63" spans="2:20" x14ac:dyDescent="0.3">
      <c r="B63" s="34" t="s">
        <v>124</v>
      </c>
      <c r="F63" s="38">
        <f t="shared" ref="F63:R63" si="15">F45-F56-F61</f>
        <v>58634.601600000024</v>
      </c>
      <c r="G63" s="38">
        <f t="shared" si="15"/>
        <v>84301.313600000023</v>
      </c>
      <c r="H63" s="38">
        <f t="shared" si="15"/>
        <v>86428.467199999985</v>
      </c>
      <c r="I63" s="38">
        <f t="shared" si="15"/>
        <v>79523.860799999995</v>
      </c>
      <c r="J63" s="38">
        <f t="shared" si="15"/>
        <v>77498.795200000022</v>
      </c>
      <c r="K63" s="38">
        <f t="shared" si="15"/>
        <v>54658.478400000022</v>
      </c>
      <c r="L63" s="38">
        <f t="shared" si="15"/>
        <v>56843.732800000027</v>
      </c>
      <c r="M63" s="38">
        <f t="shared" si="15"/>
        <v>59046.072000000015</v>
      </c>
      <c r="N63" s="38">
        <f t="shared" si="15"/>
        <v>52691.812800000014</v>
      </c>
      <c r="O63" s="38">
        <f t="shared" si="15"/>
        <v>45191.227199999994</v>
      </c>
      <c r="P63" s="38">
        <f t="shared" si="15"/>
        <v>40114.564799999993</v>
      </c>
      <c r="Q63" s="38">
        <f t="shared" si="15"/>
        <v>37164.44160000002</v>
      </c>
      <c r="R63" s="38">
        <f t="shared" si="15"/>
        <v>13635.296000000002</v>
      </c>
      <c r="T63" s="38">
        <f>SUM(F63:R63)</f>
        <v>745732.66399999999</v>
      </c>
    </row>
    <row r="64" spans="2:20" x14ac:dyDescent="0.3">
      <c r="D64" s="34" t="s">
        <v>69</v>
      </c>
      <c r="F64" s="34">
        <v>1</v>
      </c>
      <c r="G64" s="34">
        <v>2</v>
      </c>
      <c r="H64" s="34">
        <v>3</v>
      </c>
      <c r="I64" s="34">
        <v>4</v>
      </c>
      <c r="J64" s="34">
        <v>5</v>
      </c>
      <c r="K64" s="34">
        <v>6</v>
      </c>
      <c r="L64" s="34">
        <v>7</v>
      </c>
      <c r="M64" s="34">
        <v>8</v>
      </c>
      <c r="N64" s="34">
        <v>9</v>
      </c>
      <c r="O64" s="34">
        <v>10</v>
      </c>
      <c r="P64" s="34">
        <v>11</v>
      </c>
      <c r="Q64" s="34">
        <v>12</v>
      </c>
      <c r="R64" s="34">
        <v>13</v>
      </c>
    </row>
    <row r="65" spans="2:20" x14ac:dyDescent="0.3">
      <c r="D65" s="34" t="s">
        <v>70</v>
      </c>
      <c r="E65" s="42">
        <v>0.09</v>
      </c>
    </row>
    <row r="66" spans="2:20" x14ac:dyDescent="0.3">
      <c r="D66" s="34" t="s">
        <v>117</v>
      </c>
      <c r="E66" s="44">
        <f>SUM(F66:R66)/1000</f>
        <v>468.06848980636727</v>
      </c>
      <c r="F66" s="43">
        <f t="shared" ref="F66:R66" si="16">F63*((1+$E$65)^-F64)</f>
        <v>53793.21247706424</v>
      </c>
      <c r="G66" s="43">
        <f t="shared" si="16"/>
        <v>70954.729063210179</v>
      </c>
      <c r="H66" s="43">
        <f t="shared" si="16"/>
        <v>66738.634578839527</v>
      </c>
      <c r="I66" s="43">
        <f t="shared" si="16"/>
        <v>56336.707871959297</v>
      </c>
      <c r="J66" s="43">
        <f t="shared" si="16"/>
        <v>50368.899400787559</v>
      </c>
      <c r="K66" s="43">
        <f t="shared" si="16"/>
        <v>32591.06480685337</v>
      </c>
      <c r="L66" s="43">
        <f t="shared" si="16"/>
        <v>31095.468446323321</v>
      </c>
      <c r="M66" s="43">
        <f t="shared" si="16"/>
        <v>29633.232483930409</v>
      </c>
      <c r="N66" s="43">
        <f t="shared" si="16"/>
        <v>24260.774366192614</v>
      </c>
      <c r="O66" s="43">
        <f t="shared" si="16"/>
        <v>19089.262746158402</v>
      </c>
      <c r="P66" s="43">
        <f t="shared" si="16"/>
        <v>15545.71163801596</v>
      </c>
      <c r="Q66" s="43">
        <f t="shared" si="16"/>
        <v>13213.249527887987</v>
      </c>
      <c r="R66" s="43">
        <f t="shared" si="16"/>
        <v>4447.5423991443895</v>
      </c>
    </row>
    <row r="68" spans="2:20" x14ac:dyDescent="0.3">
      <c r="B68" s="34" t="s">
        <v>114</v>
      </c>
      <c r="F68" s="57">
        <f t="shared" ref="F68:R68" si="17">F66/F30</f>
        <v>0.27328311354370621</v>
      </c>
      <c r="G68" s="57">
        <f t="shared" si="17"/>
        <v>0.32328369053104744</v>
      </c>
      <c r="H68" s="57">
        <f t="shared" si="17"/>
        <v>0.31931831310231745</v>
      </c>
      <c r="I68" s="57">
        <f t="shared" si="17"/>
        <v>0.27918364413835384</v>
      </c>
      <c r="J68" s="57">
        <f t="shared" si="17"/>
        <v>0.2529946166028853</v>
      </c>
      <c r="K68" s="57">
        <f t="shared" si="17"/>
        <v>0.190979147284704</v>
      </c>
      <c r="L68" s="57">
        <f t="shared" si="17"/>
        <v>0.17865339221803289</v>
      </c>
      <c r="M68" s="57">
        <f t="shared" si="17"/>
        <v>0.1649451482445784</v>
      </c>
      <c r="N68" s="57">
        <f t="shared" si="17"/>
        <v>0.14083500168639371</v>
      </c>
      <c r="O68" s="57">
        <f t="shared" si="17"/>
        <v>0.11616615865443387</v>
      </c>
      <c r="P68" s="57">
        <f t="shared" si="17"/>
        <v>0.10287300092873002</v>
      </c>
      <c r="Q68" s="57">
        <f t="shared" si="17"/>
        <v>9.1732277746711929E-2</v>
      </c>
      <c r="R68" s="57">
        <f t="shared" si="17"/>
        <v>7.3106725615648752E-2</v>
      </c>
    </row>
    <row r="69" spans="2:20" x14ac:dyDescent="0.3"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</row>
    <row r="70" spans="2:20" x14ac:dyDescent="0.3">
      <c r="B70" s="34" t="s">
        <v>115</v>
      </c>
      <c r="F70" s="38">
        <f t="shared" ref="F70:R70" si="18">F45-F56</f>
        <v>60838.601600000024</v>
      </c>
      <c r="G70" s="38">
        <f t="shared" si="18"/>
        <v>87967.313600000023</v>
      </c>
      <c r="H70" s="38">
        <f t="shared" si="18"/>
        <v>89886.467199999985</v>
      </c>
      <c r="I70" s="38">
        <f t="shared" si="18"/>
        <v>87838.860799999995</v>
      </c>
      <c r="J70" s="38">
        <f t="shared" si="18"/>
        <v>88081.795200000022</v>
      </c>
      <c r="K70" s="38">
        <f t="shared" si="18"/>
        <v>60863.478400000022</v>
      </c>
      <c r="L70" s="38">
        <f t="shared" si="18"/>
        <v>65893.732800000027</v>
      </c>
      <c r="M70" s="38">
        <f t="shared" si="18"/>
        <v>69461.072000000015</v>
      </c>
      <c r="N70" s="38">
        <f t="shared" si="18"/>
        <v>62462.812800000014</v>
      </c>
      <c r="O70" s="38">
        <f t="shared" si="18"/>
        <v>53893.227199999994</v>
      </c>
      <c r="P70" s="38">
        <f t="shared" si="18"/>
        <v>46817.564799999993</v>
      </c>
      <c r="Q70" s="38">
        <f t="shared" si="18"/>
        <v>41762.44160000002</v>
      </c>
      <c r="R70" s="38">
        <f t="shared" si="18"/>
        <v>15741.296000000002</v>
      </c>
      <c r="T70" s="38">
        <f>SUM(F70:S70)</f>
        <v>831508.66399999999</v>
      </c>
    </row>
    <row r="71" spans="2:20" x14ac:dyDescent="0.3">
      <c r="B71" s="34" t="s">
        <v>116</v>
      </c>
      <c r="F71" s="57">
        <f t="shared" ref="F71:R71" si="19">F70/F30</f>
        <v>0.30907547073865482</v>
      </c>
      <c r="G71" s="57">
        <f t="shared" si="19"/>
        <v>0.40079636920853573</v>
      </c>
      <c r="H71" s="57">
        <f t="shared" si="19"/>
        <v>0.43007165576820627</v>
      </c>
      <c r="I71" s="57">
        <f t="shared" si="19"/>
        <v>0.4352965265709397</v>
      </c>
      <c r="J71" s="57">
        <f t="shared" si="19"/>
        <v>0.44242022897902422</v>
      </c>
      <c r="K71" s="57">
        <f t="shared" si="19"/>
        <v>0.35665159375733985</v>
      </c>
      <c r="L71" s="57">
        <f t="shared" si="19"/>
        <v>0.37858052889441463</v>
      </c>
      <c r="M71" s="57">
        <f t="shared" si="19"/>
        <v>0.38663574162826869</v>
      </c>
      <c r="N71" s="57">
        <f t="shared" si="19"/>
        <v>0.36259973458569594</v>
      </c>
      <c r="O71" s="57">
        <f t="shared" si="19"/>
        <v>0.3279628587319095</v>
      </c>
      <c r="P71" s="57">
        <f t="shared" si="19"/>
        <v>0.30981298890000242</v>
      </c>
      <c r="Q71" s="57">
        <f t="shared" si="19"/>
        <v>0.28993351591115996</v>
      </c>
      <c r="R71" s="57">
        <f t="shared" si="19"/>
        <v>0.25874842873405707</v>
      </c>
    </row>
    <row r="73" spans="2:20" x14ac:dyDescent="0.3">
      <c r="B73" s="34" t="s">
        <v>141</v>
      </c>
      <c r="F73" s="38">
        <v>12000</v>
      </c>
      <c r="G73" s="38">
        <v>12001</v>
      </c>
      <c r="H73" s="38">
        <v>12002</v>
      </c>
      <c r="I73" s="38">
        <v>12003</v>
      </c>
      <c r="J73" s="38">
        <v>12004</v>
      </c>
      <c r="K73" s="38">
        <v>12005</v>
      </c>
      <c r="L73" s="38">
        <v>12006</v>
      </c>
      <c r="M73" s="38">
        <v>12007</v>
      </c>
      <c r="N73" s="38">
        <v>12008</v>
      </c>
      <c r="O73" s="38">
        <v>12009</v>
      </c>
      <c r="P73" s="38">
        <v>12010</v>
      </c>
      <c r="Q73" s="38">
        <v>12011</v>
      </c>
      <c r="R73" s="38">
        <v>12012</v>
      </c>
    </row>
    <row r="74" spans="2:20" x14ac:dyDescent="0.3">
      <c r="B74" s="34" t="s">
        <v>142</v>
      </c>
      <c r="F74" s="38">
        <f>F73*0.3</f>
        <v>3600</v>
      </c>
      <c r="G74" s="38">
        <f t="shared" ref="G74:R74" si="20">G73*0.3</f>
        <v>3600.2999999999997</v>
      </c>
      <c r="H74" s="38">
        <f t="shared" si="20"/>
        <v>3600.6</v>
      </c>
      <c r="I74" s="38">
        <f t="shared" si="20"/>
        <v>3600.9</v>
      </c>
      <c r="J74" s="38">
        <f t="shared" si="20"/>
        <v>3601.2</v>
      </c>
      <c r="K74" s="38">
        <f t="shared" si="20"/>
        <v>3601.5</v>
      </c>
      <c r="L74" s="38">
        <f t="shared" si="20"/>
        <v>3601.7999999999997</v>
      </c>
      <c r="M74" s="38">
        <f t="shared" si="20"/>
        <v>3602.1</v>
      </c>
      <c r="N74" s="38">
        <f t="shared" si="20"/>
        <v>3602.4</v>
      </c>
      <c r="O74" s="38">
        <f t="shared" si="20"/>
        <v>3602.7</v>
      </c>
      <c r="P74" s="38">
        <f t="shared" si="20"/>
        <v>3603</v>
      </c>
      <c r="Q74" s="38">
        <f t="shared" si="20"/>
        <v>3603.2999999999997</v>
      </c>
      <c r="R74" s="38">
        <f t="shared" si="20"/>
        <v>3603.6</v>
      </c>
    </row>
    <row r="75" spans="2:20" x14ac:dyDescent="0.3">
      <c r="B75" s="34" t="s">
        <v>143</v>
      </c>
      <c r="F75" s="38">
        <f>F61-F74</f>
        <v>-1396</v>
      </c>
      <c r="G75" s="38">
        <f t="shared" ref="G75:R75" si="21">G61-G74</f>
        <v>65.700000000000273</v>
      </c>
      <c r="H75" s="38">
        <f t="shared" si="21"/>
        <v>-142.59999999999991</v>
      </c>
      <c r="I75" s="38">
        <f t="shared" si="21"/>
        <v>4714.1000000000004</v>
      </c>
      <c r="J75" s="38">
        <f t="shared" si="21"/>
        <v>6981.8</v>
      </c>
      <c r="K75" s="38">
        <f t="shared" si="21"/>
        <v>2603.5</v>
      </c>
      <c r="L75" s="38">
        <f t="shared" si="21"/>
        <v>5448.2000000000007</v>
      </c>
      <c r="M75" s="38">
        <f t="shared" si="21"/>
        <v>6812.9</v>
      </c>
      <c r="N75" s="38">
        <f t="shared" si="21"/>
        <v>6168.6</v>
      </c>
      <c r="O75" s="38">
        <f t="shared" si="21"/>
        <v>5099.3</v>
      </c>
      <c r="P75" s="38">
        <f t="shared" si="21"/>
        <v>3100</v>
      </c>
      <c r="Q75" s="38">
        <f t="shared" si="21"/>
        <v>994.70000000000027</v>
      </c>
      <c r="R75" s="38">
        <f t="shared" si="21"/>
        <v>-1497.6</v>
      </c>
    </row>
    <row r="76" spans="2:20" x14ac:dyDescent="0.3"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</row>
    <row r="77" spans="2:20" x14ac:dyDescent="0.3">
      <c r="B77" s="34" t="s">
        <v>144</v>
      </c>
      <c r="F77" s="38">
        <f>F63-F73+F74</f>
        <v>50234.601600000024</v>
      </c>
      <c r="G77" s="38">
        <f t="shared" ref="G77:R77" si="22">G63-G73+G74</f>
        <v>75900.613600000026</v>
      </c>
      <c r="H77" s="38">
        <f t="shared" si="22"/>
        <v>78027.06719999999</v>
      </c>
      <c r="I77" s="38">
        <f t="shared" si="22"/>
        <v>71121.760799999989</v>
      </c>
      <c r="J77" s="38">
        <f t="shared" si="22"/>
        <v>69095.995200000019</v>
      </c>
      <c r="K77" s="38">
        <f t="shared" si="22"/>
        <v>46254.978400000022</v>
      </c>
      <c r="L77" s="38">
        <f t="shared" si="22"/>
        <v>48439.53280000003</v>
      </c>
      <c r="M77" s="38">
        <f t="shared" si="22"/>
        <v>50641.172000000013</v>
      </c>
      <c r="N77" s="38">
        <f t="shared" si="22"/>
        <v>44286.212800000016</v>
      </c>
      <c r="O77" s="38">
        <f t="shared" si="22"/>
        <v>36784.927199999991</v>
      </c>
      <c r="P77" s="38">
        <f t="shared" si="22"/>
        <v>31707.564799999993</v>
      </c>
      <c r="Q77" s="38">
        <f t="shared" si="22"/>
        <v>28756.741600000019</v>
      </c>
      <c r="R77" s="38">
        <f t="shared" si="22"/>
        <v>5226.8960000000025</v>
      </c>
    </row>
    <row r="79" spans="2:20" x14ac:dyDescent="0.3">
      <c r="D79" s="34" t="s">
        <v>145</v>
      </c>
      <c r="E79" s="44">
        <f>SUM(F79:R79)/1000</f>
        <v>405.15324565933122</v>
      </c>
      <c r="F79" s="43">
        <f>F77*((1+$E$65)^-F64)</f>
        <v>46086.790458715615</v>
      </c>
      <c r="G79" s="43">
        <f t="shared" ref="G79:R79" si="23">G77*((1+$E$65)^-G64)</f>
        <v>63884.027943775793</v>
      </c>
      <c r="H79" s="43">
        <f t="shared" si="23"/>
        <v>60251.21228945451</v>
      </c>
      <c r="I79" s="43">
        <f t="shared" si="23"/>
        <v>50384.448406068404</v>
      </c>
      <c r="J79" s="43">
        <f t="shared" si="23"/>
        <v>44907.655947999818</v>
      </c>
      <c r="K79" s="43">
        <f t="shared" si="23"/>
        <v>27580.332325423879</v>
      </c>
      <c r="L79" s="43">
        <f t="shared" si="23"/>
        <v>26498.083245811114</v>
      </c>
      <c r="M79" s="43">
        <f t="shared" si="23"/>
        <v>25415.096589908761</v>
      </c>
      <c r="N79" s="43">
        <f t="shared" si="23"/>
        <v>20390.602622690392</v>
      </c>
      <c r="O79" s="43">
        <f t="shared" si="23"/>
        <v>15538.350780151171</v>
      </c>
      <c r="P79" s="43">
        <f t="shared" si="23"/>
        <v>12287.722965014074</v>
      </c>
      <c r="Q79" s="43">
        <f t="shared" si="23"/>
        <v>10224.020219633729</v>
      </c>
      <c r="R79" s="43">
        <f t="shared" si="23"/>
        <v>1704.9018646839952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Underground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pavich</dc:creator>
  <cp:lastModifiedBy>robert pavich</cp:lastModifiedBy>
  <dcterms:created xsi:type="dcterms:W3CDTF">2020-09-27T16:46:41Z</dcterms:created>
  <dcterms:modified xsi:type="dcterms:W3CDTF">2021-03-09T19:43:21Z</dcterms:modified>
</cp:coreProperties>
</file>